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11"/>
  <workbookPr defaultThemeVersion="124226"/>
  <mc:AlternateContent xmlns:mc="http://schemas.openxmlformats.org/markup-compatibility/2006">
    <mc:Choice Requires="x15">
      <x15ac:absPath xmlns:x15ac="http://schemas.microsoft.com/office/spreadsheetml/2010/11/ac" url="https://waternz.sharepoint.com/sites/WaterNewZealand/Shared Documents/PRO - PROJECTS/WL- Waterloss guideline update/Deliverables/"/>
    </mc:Choice>
  </mc:AlternateContent>
  <xr:revisionPtr revIDLastSave="0" documentId="8_{E7B8B090-55C4-48E3-BF16-E6CB8487637E}" xr6:coauthVersionLast="47" xr6:coauthVersionMax="47" xr10:uidLastSave="{00000000-0000-0000-0000-000000000000}"/>
  <bookViews>
    <workbookView xWindow="-120" yWindow="-120" windowWidth="29040" windowHeight="15720" xr2:uid="{00000000-000D-0000-FFFF-FFFF00000000}"/>
  </bookViews>
  <sheets>
    <sheet name="Introduction and Instructions" sheetId="6" r:id="rId1"/>
    <sheet name="Original Template" sheetId="2" r:id="rId2"/>
    <sheet name="TEMPLATE TO USE - OVERWRITE" sheetId="5" r:id="rId3"/>
    <sheet name="Check of Spreadsheet" sheetId="3" r:id="rId4"/>
    <sheet name="From Benchloss Appendix J" sheetId="4"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5" l="1"/>
  <c r="J23" i="5"/>
  <c r="O16" i="5"/>
  <c r="P16" i="5" s="1"/>
  <c r="O11" i="5"/>
  <c r="P11" i="5" s="1"/>
  <c r="F11" i="5"/>
  <c r="E11" i="5"/>
  <c r="E10" i="5"/>
  <c r="D10" i="5" s="1"/>
  <c r="O10" i="5" s="1"/>
  <c r="P10" i="5" s="1"/>
  <c r="E9" i="5"/>
  <c r="D9" i="5" s="1"/>
  <c r="O8" i="5"/>
  <c r="P8" i="5" s="1"/>
  <c r="F8" i="5"/>
  <c r="E10" i="2"/>
  <c r="D10" i="2" s="1"/>
  <c r="O10" i="2" s="1"/>
  <c r="P10" i="2" s="1"/>
  <c r="E9" i="2"/>
  <c r="D12" i="5" l="1"/>
  <c r="O9" i="5"/>
  <c r="P9" i="5" s="1"/>
  <c r="P12" i="5" s="1"/>
  <c r="O12" i="5" s="1"/>
  <c r="J24" i="3"/>
  <c r="O17" i="3"/>
  <c r="P17" i="3" s="1"/>
  <c r="O12" i="3"/>
  <c r="P12" i="3" s="1"/>
  <c r="F12" i="3"/>
  <c r="E12" i="3"/>
  <c r="E11" i="3"/>
  <c r="D11" i="3" s="1"/>
  <c r="O10" i="3"/>
  <c r="P10" i="3" s="1"/>
  <c r="F10" i="3"/>
  <c r="E10" i="3"/>
  <c r="O8" i="2"/>
  <c r="P8" i="2" s="1"/>
  <c r="O11" i="2"/>
  <c r="P11" i="2" s="1"/>
  <c r="G12" i="5" l="1"/>
  <c r="M15" i="5" s="1"/>
  <c r="O15" i="5" s="1"/>
  <c r="P15" i="5" s="1"/>
  <c r="P17" i="5" s="1"/>
  <c r="O17" i="5" s="1"/>
  <c r="M17" i="5" s="1"/>
  <c r="M21" i="5" s="1"/>
  <c r="F12" i="5"/>
  <c r="E12" i="5"/>
  <c r="J15" i="5" s="1"/>
  <c r="D13" i="3"/>
  <c r="E13" i="3" s="1"/>
  <c r="J16" i="3" s="1"/>
  <c r="O11" i="3"/>
  <c r="P11" i="3" s="1"/>
  <c r="P13" i="3" s="1"/>
  <c r="O13" i="3" s="1"/>
  <c r="O16" i="2"/>
  <c r="F11" i="2"/>
  <c r="E11" i="2"/>
  <c r="L17" i="5" l="1"/>
  <c r="J20" i="5" s="1"/>
  <c r="J21" i="5" s="1"/>
  <c r="J22" i="5"/>
  <c r="J24" i="5" s="1"/>
  <c r="F13" i="3"/>
  <c r="G13" i="3"/>
  <c r="M16" i="3" s="1"/>
  <c r="O16" i="3" s="1"/>
  <c r="P16" i="3" s="1"/>
  <c r="P18" i="3" s="1"/>
  <c r="O18" i="3" s="1"/>
  <c r="M18" i="3" s="1"/>
  <c r="M22" i="3" s="1"/>
  <c r="L18" i="3"/>
  <c r="J21" i="3" s="1"/>
  <c r="J22" i="3" s="1"/>
  <c r="J23" i="3"/>
  <c r="J25" i="3" s="1"/>
  <c r="J23" i="2"/>
  <c r="P16" i="2"/>
  <c r="D9" i="2"/>
  <c r="D12" i="2" s="1"/>
  <c r="F8" i="2"/>
  <c r="E8" i="2"/>
  <c r="O9" i="2" l="1"/>
  <c r="P9" i="2" s="1"/>
  <c r="P12" i="2" s="1"/>
  <c r="O12" i="2" s="1"/>
  <c r="F12" i="2" l="1"/>
  <c r="E12" i="2"/>
  <c r="J15" i="2" s="1"/>
  <c r="G12" i="2"/>
  <c r="M15" i="2" s="1"/>
  <c r="O15" i="2" s="1"/>
  <c r="P15" i="2" s="1"/>
  <c r="P17" i="2" s="1"/>
  <c r="O17" i="2" s="1"/>
  <c r="M17" i="2" s="1"/>
  <c r="M21" i="2" s="1"/>
  <c r="L17" i="2" l="1"/>
  <c r="J22" i="2"/>
  <c r="J24" i="2" s="1"/>
  <c r="J20" i="2" l="1"/>
  <c r="J21" i="2" s="1"/>
</calcChain>
</file>

<file path=xl/sharedStrings.xml><?xml version="1.0" encoding="utf-8"?>
<sst xmlns="http://schemas.openxmlformats.org/spreadsheetml/2006/main" count="136" uniqueCount="62">
  <si>
    <t>SNAPSHOT ILI / MINIMUM NIGHT FLOW CALCULATION TEMPLATE</t>
  </si>
  <si>
    <t>Version 1 2023</t>
  </si>
  <si>
    <t xml:space="preserve">INTRODUCTION </t>
  </si>
  <si>
    <r>
      <t xml:space="preserve">The </t>
    </r>
    <r>
      <rPr>
        <b/>
        <sz val="11"/>
        <color theme="1"/>
        <rFont val="Calibri"/>
        <family val="2"/>
        <scheme val="minor"/>
      </rPr>
      <t>Snapshot ILI/Minimum Night Flow Calculation Template</t>
    </r>
    <r>
      <rPr>
        <sz val="11"/>
        <color theme="1"/>
        <rFont val="Calibri"/>
        <family val="2"/>
        <scheme val="minor"/>
      </rPr>
      <t xml:space="preserve"> software is an Excel Workbook that is used to calculate (assess) current levels of water loss in a water supply network based on current minimum night flowrates. 
</t>
    </r>
    <r>
      <rPr>
        <b/>
        <sz val="11"/>
        <color theme="1"/>
        <rFont val="Calibri"/>
        <family val="2"/>
        <scheme val="minor"/>
      </rPr>
      <t xml:space="preserve">NOTE: This tool can be used for both </t>
    </r>
    <r>
      <rPr>
        <b/>
        <u/>
        <sz val="11"/>
        <color theme="1"/>
        <rFont val="Calibri"/>
        <family val="2"/>
        <scheme val="minor"/>
      </rPr>
      <t>water balance calculations</t>
    </r>
    <r>
      <rPr>
        <b/>
        <sz val="11"/>
        <color theme="1"/>
        <rFont val="Calibri"/>
        <family val="2"/>
        <scheme val="minor"/>
      </rPr>
      <t xml:space="preserve"> and for </t>
    </r>
    <r>
      <rPr>
        <b/>
        <u/>
        <sz val="11"/>
        <color theme="1"/>
        <rFont val="Calibri"/>
        <family val="2"/>
        <scheme val="minor"/>
      </rPr>
      <t>'week-to-week' monitoring</t>
    </r>
    <r>
      <rPr>
        <b/>
        <sz val="11"/>
        <color theme="1"/>
        <rFont val="Calibri"/>
        <family val="2"/>
        <scheme val="minor"/>
      </rPr>
      <t xml:space="preserve"> of real losses in individual zones and District Metered Areas (DMAs).  </t>
    </r>
    <r>
      <rPr>
        <sz val="11"/>
        <color theme="1"/>
        <rFont val="Calibri"/>
        <family val="2"/>
        <scheme val="minor"/>
      </rPr>
      <t xml:space="preserve">For the latter, refer also to the 'Network Monitoring' section of the NZ Water Loss Guidelines. </t>
    </r>
  </si>
  <si>
    <t>Background information and the original tables can be found in Appendix J of the BenchlossNZ Manual. The template is based on Figures J6, J7 and J8 in Appendix J.</t>
  </si>
  <si>
    <r>
      <t xml:space="preserve"> The word 'Snapshot' is used to indicate that the ILI result is for a given period in time. </t>
    </r>
    <r>
      <rPr>
        <sz val="11"/>
        <color theme="1"/>
        <rFont val="Calibri"/>
        <family val="2"/>
        <scheme val="minor"/>
      </rPr>
      <t xml:space="preserve">Hence, for a 12 month water balance period, several MNF calculations should be carried out to provide a representative assessment for the year. As outdoor/irrigation water use in summer is very problematic for MNF calculations, it is preferable if the water balance period is from approximately mid-year to mid-year (winter to winter) so that more reliable MNF calculations can be carried out near the start and end of the water balance period.   </t>
    </r>
  </si>
  <si>
    <r>
      <t xml:space="preserve">Compared with Figure J6 in Appendix J, </t>
    </r>
    <r>
      <rPr>
        <b/>
        <sz val="11"/>
        <color theme="1"/>
        <rFont val="Calibri"/>
        <family val="2"/>
        <scheme val="minor"/>
      </rPr>
      <t>a new line has been added entitled 'Assessed Leakage from Customer Underground Service Pipe (UGSP)'</t>
    </r>
    <r>
      <rPr>
        <sz val="11"/>
        <color theme="1"/>
        <rFont val="Calibri"/>
        <family val="2"/>
        <scheme val="minor"/>
      </rPr>
      <t>. Assessed Customer Night Consumption (CNCa) is now to be taken as average customer water use at night excluding leakage from UGSPs. This provides more detail in the calculation of overall customer water use at night. Refer also to comments below on these two components.</t>
    </r>
  </si>
  <si>
    <t>One issue with MNF calculations is assessing night use from non-residential properties. It is ideal if large water users have their water meter data-logged so that night use from these properties is known. For other metered non-residential properties, a proportion (say 10%) of average daily billed consumption can be used.</t>
  </si>
  <si>
    <t xml:space="preserve">Cells in the Worksheets are colour-coded as shown below; all cells and blocks are protected except for the yellow Data Entry Cells. </t>
  </si>
  <si>
    <t>Data entry cells</t>
  </si>
  <si>
    <t>Calculated values</t>
  </si>
  <si>
    <r>
      <rPr>
        <b/>
        <sz val="11"/>
        <color theme="1"/>
        <rFont val="Calibri"/>
        <family val="2"/>
        <scheme val="minor"/>
      </rPr>
      <t xml:space="preserve">Uncertainty Considerations- </t>
    </r>
    <r>
      <rPr>
        <sz val="11"/>
        <color theme="1"/>
        <rFont val="Calibri"/>
        <family val="2"/>
        <scheme val="minor"/>
      </rPr>
      <t xml:space="preserve">All calculations include optional sensitivity testing; if the user enters 95%ile estimates of random errors in input data, the software calculates 95%ile errors for the 'Snapshot ILI'. The calculations are based on the assumption that the random errors are distributed according to a Normal (Gaussian) distribution.
For the calculation of the Snapshot ILI value, the user enters a 'best estimated' value for each input parameter. The user is then required to make a judgement as follows:
'I think the value I have entered is probably within +/- X% of the true value'. The value of X is then assumed to represent </t>
    </r>
    <r>
      <rPr>
        <b/>
        <sz val="11"/>
        <color theme="1"/>
        <rFont val="Calibri"/>
        <family val="2"/>
        <scheme val="minor"/>
      </rPr>
      <t>the 95% confidence limits</t>
    </r>
    <r>
      <rPr>
        <sz val="11"/>
        <color theme="1"/>
        <rFont val="Calibri"/>
        <family val="2"/>
        <scheme val="minor"/>
      </rPr>
      <t>, expressed as a % of the best estimated value.</t>
    </r>
  </si>
  <si>
    <t>INSTRUCTIONS</t>
  </si>
  <si>
    <r>
      <rPr>
        <b/>
        <sz val="11"/>
        <color theme="1"/>
        <rFont val="Calibri"/>
        <family val="2"/>
        <scheme val="minor"/>
      </rPr>
      <t xml:space="preserve">Period (dates entered) and Minimum Night Flow  </t>
    </r>
    <r>
      <rPr>
        <sz val="11"/>
        <color theme="1"/>
        <rFont val="Calibri"/>
        <family val="2"/>
        <scheme val="minor"/>
      </rPr>
      <t>As mentioned above, outdoor/irrigation water use in summer is very problematic for MNF calculations, it is preferable if the water balance period is from approximately mid-year to mid-year (winter to winter) so that more reliable MNF calculations can be carried out near the start and end of the water balance period. 
It is recommended that SCADA flow data is plotted over one or two weeks, and a MNF selected and recorded directly from the SCADA graph. Enter the start/end dates in the spreadsheet, and the MNF in litres/second.</t>
    </r>
  </si>
  <si>
    <r>
      <t xml:space="preserve">System Parameters </t>
    </r>
    <r>
      <rPr>
        <sz val="11"/>
        <color theme="1"/>
        <rFont val="Calibri"/>
        <family val="2"/>
        <scheme val="minor"/>
      </rPr>
      <t xml:space="preserve"> - Enter the </t>
    </r>
    <r>
      <rPr>
        <u/>
        <sz val="11"/>
        <color theme="1"/>
        <rFont val="Calibri"/>
        <family val="2"/>
        <scheme val="minor"/>
      </rPr>
      <t>number of service connections</t>
    </r>
    <r>
      <rPr>
        <sz val="11"/>
        <color theme="1"/>
        <rFont val="Calibri"/>
        <family val="2"/>
        <scheme val="minor"/>
      </rPr>
      <t>, the</t>
    </r>
    <r>
      <rPr>
        <u/>
        <sz val="11"/>
        <color theme="1"/>
        <rFont val="Calibri"/>
        <family val="2"/>
        <scheme val="minor"/>
      </rPr>
      <t xml:space="preserve"> length of mains</t>
    </r>
    <r>
      <rPr>
        <sz val="11"/>
        <color theme="1"/>
        <rFont val="Calibri"/>
        <family val="2"/>
        <scheme val="minor"/>
      </rPr>
      <t xml:space="preserve"> (in km) and the </t>
    </r>
    <r>
      <rPr>
        <u/>
        <sz val="11"/>
        <color theme="1"/>
        <rFont val="Calibri"/>
        <family val="2"/>
        <scheme val="minor"/>
      </rPr>
      <t>average zone night pressure</t>
    </r>
    <r>
      <rPr>
        <sz val="11"/>
        <color theme="1"/>
        <rFont val="Calibri"/>
        <family val="2"/>
        <scheme val="minor"/>
      </rPr>
      <t xml:space="preserve"> (AZNP) (in metres) into the spreadsheet.  </t>
    </r>
  </si>
  <si>
    <r>
      <rPr>
        <b/>
        <sz val="11"/>
        <color theme="1"/>
        <rFont val="Calibri"/>
        <family val="2"/>
        <scheme val="minor"/>
      </rPr>
      <t xml:space="preserve">Assessed Customer Night Consumption </t>
    </r>
    <r>
      <rPr>
        <sz val="11"/>
        <color theme="1"/>
        <rFont val="Calibri"/>
        <family val="2"/>
        <scheme val="minor"/>
      </rPr>
      <t xml:space="preserve"> Enter a value to represent average water use (indoor) per residential water connection. A figure of 2.0 litres/connection/hour is commonly used. Additional data is becoming available relating to this night water use - refer Guidelines document. </t>
    </r>
    <r>
      <rPr>
        <b/>
        <sz val="11"/>
        <color theme="1"/>
        <rFont val="Calibri"/>
        <family val="2"/>
        <scheme val="minor"/>
      </rPr>
      <t xml:space="preserve">Note: </t>
    </r>
    <r>
      <rPr>
        <u/>
        <sz val="11"/>
        <color theme="1"/>
        <rFont val="Calibri"/>
        <family val="2"/>
        <scheme val="minor"/>
      </rPr>
      <t>This figure is to exclude leakage from private underground service pipes (UGSP).</t>
    </r>
  </si>
  <si>
    <r>
      <t xml:space="preserve">Assessed Leakage from Customer Underground Service Pipe (UGSP).  </t>
    </r>
    <r>
      <rPr>
        <sz val="11"/>
        <color theme="1"/>
        <rFont val="Calibri"/>
        <family val="2"/>
        <scheme val="minor"/>
      </rPr>
      <t xml:space="preserve">There is a formula near the bottom of the ‘Consumption’ worksheet in the Benchloss Software for calculating an average figure for UGSP leakage, which typically calculates to around 30-40 litres/connection/day or around 1.5 litres/connection/hour.  </t>
    </r>
  </si>
  <si>
    <r>
      <t>Exceptional Customer Night Consumption</t>
    </r>
    <r>
      <rPr>
        <sz val="11"/>
        <color theme="1"/>
        <rFont val="Calibri"/>
        <family val="2"/>
        <scheme val="minor"/>
      </rPr>
      <t xml:space="preserve">  This figure represents water use from non-residential properties occurring during the time of the MNF. It is ideal if large water users have their water meter data-logged so that night use from these properties is known precisely. For other metered non-residential properties, a proportion (say 10%) of average daily billed consumption can be used.</t>
    </r>
  </si>
  <si>
    <r>
      <t>Snapshot Leakage Rate</t>
    </r>
    <r>
      <rPr>
        <sz val="11"/>
        <color theme="1"/>
        <rFont val="Calibri"/>
        <family val="2"/>
        <scheme val="minor"/>
      </rPr>
      <t xml:space="preserve">  The spreadsheet calculates the net minimum night flow by deducting the above amounts from the observed MNF. </t>
    </r>
    <r>
      <rPr>
        <b/>
        <sz val="11"/>
        <color theme="1"/>
        <rFont val="Calibri"/>
        <family val="2"/>
        <scheme val="minor"/>
      </rPr>
      <t>Note that this is the net flow is 'during the night'</t>
    </r>
    <r>
      <rPr>
        <sz val="11"/>
        <color theme="1"/>
        <rFont val="Calibri"/>
        <family val="2"/>
        <scheme val="minor"/>
      </rPr>
      <t xml:space="preserve"> when water supply pressures can be different from the 24 hour daily average pressure. Hence a correction needs to be allowed for and this is where the </t>
    </r>
    <r>
      <rPr>
        <u/>
        <sz val="11"/>
        <color theme="1"/>
        <rFont val="Calibri"/>
        <family val="2"/>
        <scheme val="minor"/>
      </rPr>
      <t>Night Day Factor</t>
    </r>
    <r>
      <rPr>
        <sz val="11"/>
        <color theme="1"/>
        <rFont val="Calibri"/>
        <family val="2"/>
        <scheme val="minor"/>
      </rPr>
      <t xml:space="preserve"> is utilised.</t>
    </r>
  </si>
  <si>
    <r>
      <t xml:space="preserve">The second table </t>
    </r>
    <r>
      <rPr>
        <sz val="11"/>
        <color theme="1"/>
        <rFont val="Calibri"/>
        <family val="2"/>
        <scheme val="minor"/>
      </rPr>
      <t xml:space="preserve">is used to convert the </t>
    </r>
    <r>
      <rPr>
        <u/>
        <sz val="11"/>
        <color theme="1"/>
        <rFont val="Calibri"/>
        <family val="2"/>
        <scheme val="minor"/>
      </rPr>
      <t>Snapshot Leakage Rate (NLR)</t>
    </r>
    <r>
      <rPr>
        <sz val="11"/>
        <color theme="1"/>
        <rFont val="Calibri"/>
        <family val="2"/>
        <scheme val="minor"/>
      </rPr>
      <t xml:space="preserve"> into a </t>
    </r>
    <r>
      <rPr>
        <u/>
        <sz val="11"/>
        <color theme="1"/>
        <rFont val="Calibri"/>
        <family val="2"/>
        <scheme val="minor"/>
      </rPr>
      <t>Snapshot Daily Leakage Rate</t>
    </r>
    <r>
      <rPr>
        <sz val="11"/>
        <color theme="1"/>
        <rFont val="Calibri"/>
        <family val="2"/>
        <scheme val="minor"/>
      </rPr>
      <t xml:space="preserve">, by correcting the former value for variances in supply pressure over the 24 hour period. </t>
    </r>
    <r>
      <rPr>
        <b/>
        <sz val="11"/>
        <color theme="1"/>
        <rFont val="Calibri"/>
        <family val="2"/>
        <scheme val="minor"/>
      </rPr>
      <t>Appendix J in the Benchloss manual explains this well.</t>
    </r>
  </si>
  <si>
    <r>
      <t xml:space="preserve">The third and last table </t>
    </r>
    <r>
      <rPr>
        <sz val="11"/>
        <color theme="1"/>
        <rFont val="Calibri"/>
        <family val="2"/>
        <scheme val="minor"/>
      </rPr>
      <t xml:space="preserve">is used to calculate a </t>
    </r>
    <r>
      <rPr>
        <b/>
        <sz val="11"/>
        <color theme="1"/>
        <rFont val="Calibri"/>
        <family val="2"/>
        <scheme val="minor"/>
      </rPr>
      <t>Snapshot Infrastructure Leakage Index</t>
    </r>
    <r>
      <rPr>
        <sz val="11"/>
        <color theme="1"/>
        <rFont val="Calibri"/>
        <family val="2"/>
        <scheme val="minor"/>
      </rPr>
      <t xml:space="preserve"> (ILI) for the zone or network. A figure for Unavoidable Annual Real Losses (UARL) is available from the Benchloss Spreadsheet for the network, or can be calculated separately (refer Appendix G in the Benchloss Manual). </t>
    </r>
  </si>
  <si>
    <r>
      <t>Snapshot ILI values</t>
    </r>
    <r>
      <rPr>
        <sz val="11"/>
        <color theme="1"/>
        <rFont val="Calibri"/>
        <family val="2"/>
        <scheme val="minor"/>
      </rPr>
      <t xml:space="preserve"> for the zone or network need to be considered along with notional ILI figures based on the Winter Water Use Analysis (and possibly other considerations) when arriving at a final assessed level of water loss for the network. </t>
    </r>
  </si>
  <si>
    <t>SNAPSHOT NIGHT LEAKAGE RATE</t>
  </si>
  <si>
    <t>COLOUR CODING</t>
  </si>
  <si>
    <t>Std Dev</t>
  </si>
  <si>
    <r>
      <t>SD</t>
    </r>
    <r>
      <rPr>
        <b/>
        <vertAlign val="superscript"/>
        <sz val="10"/>
        <color theme="1"/>
        <rFont val="Calibri"/>
        <family val="2"/>
        <scheme val="minor"/>
      </rPr>
      <t>2</t>
    </r>
  </si>
  <si>
    <t>Number of Service Connections =</t>
  </si>
  <si>
    <t>Litres/sec</t>
  </si>
  <si>
    <t>m3/hr</t>
  </si>
  <si>
    <t>Litres/conn/ hour</t>
  </si>
  <si>
    <t>95% Conf. Limits</t>
  </si>
  <si>
    <t xml:space="preserve">Length of Mains (km) = </t>
  </si>
  <si>
    <t xml:space="preserve">when AZNP (metres) = </t>
  </si>
  <si>
    <t>Minimum Night Flow MNF</t>
  </si>
  <si>
    <t xml:space="preserve">Data Entry Cells </t>
  </si>
  <si>
    <t>Assessed Customer Night Consumption CNCa*</t>
  </si>
  <si>
    <t xml:space="preserve">Calculated Values </t>
  </si>
  <si>
    <t xml:space="preserve">Assessed Leakage from Customer UGSP </t>
  </si>
  <si>
    <t>Exceptional Customer Night Consumption CNCe</t>
  </si>
  <si>
    <t>Snapshot Leakage Rate NLR = MNF - CNCa - Customer UGSP Leakage - CNCe</t>
  </si>
  <si>
    <t>* Excludes leakage from UGSP</t>
  </si>
  <si>
    <t>SNAPSHOT DAILY LEAKAGE: Multiply NIGHT LEAKAGE RATE (NLR) by NIGHT DAY FACTOR</t>
  </si>
  <si>
    <t>m3/hour</t>
  </si>
  <si>
    <t>Hours/day</t>
  </si>
  <si>
    <t>m3/day</t>
  </si>
  <si>
    <t>95% Conf. Limits Squared</t>
  </si>
  <si>
    <t>Night Leakage Rate NLR</t>
  </si>
  <si>
    <t>Night-Day Factor NDF</t>
  </si>
  <si>
    <t>Snapshot Daily Leakage = NLR x NDF</t>
  </si>
  <si>
    <t>CALCULATE SNAPSHOT VALUE OF REAL LOSSES PERFORMANCE (ILI)</t>
  </si>
  <si>
    <t>The Snapshot Daily Leakage is:</t>
  </si>
  <si>
    <t>litres/connection/day +/-</t>
  </si>
  <si>
    <t>The Snapshot Night Leakage rate is:</t>
  </si>
  <si>
    <t>m3/hour at AZNP</t>
  </si>
  <si>
    <t>The Unavoidable Annual Real Losses are:</t>
  </si>
  <si>
    <t>So Snapshot 'Infrastructure Leakage Index' is:</t>
  </si>
  <si>
    <t>Assessed Leakage from Customer UGSP</t>
  </si>
  <si>
    <t>CHECK SPREADSHEET USING VALUES FROM BENCHLOSS APPENDIX J - FIGURES J6, J7 AND J8 - REFER NEXT WORKSHEET</t>
  </si>
  <si>
    <t>Assessed Customer Night Consumption CNCa</t>
  </si>
  <si>
    <t>Exceptional customer night consumption CNCe</t>
  </si>
  <si>
    <t xml:space="preserve"> Snapshot Leakage Rate NLR = MNF - CNCa - CNCe</t>
  </si>
  <si>
    <t>NOTE: A new line item 'Assessed Leakage from Customer Underground Service Pipe (UGSP)' has been added to the table in the NEW TEMPLATE.  In the above table CNCa represents 'all' consumption on the customer's property - water use and leakage from UGSP.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</si>
</sst>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_ ;\-#,##0\ "/>
    <numFmt numFmtId="166" formatCode="#,##0.0_ ;\-#,##0.0\ "/>
    <numFmt numFmtId="167" formatCode="#,##0.00_ ;\-#,##0.00\ "/>
    <numFmt numFmtId="168" formatCode="0.0%"/>
    <numFmt numFmtId="169" formatCode="_-* #,##0_-;\-* #,##0_-;_-* &quot;-&quot;??_-;_-@_-"/>
    <numFmt numFmtId="170" formatCode="0.000"/>
  </numFmts>
  <fonts count="1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8"/>
      <color theme="1"/>
      <name val="Calibri"/>
      <family val="2"/>
      <scheme val="minor"/>
    </font>
    <font>
      <b/>
      <vertAlign val="superscript"/>
      <sz val="10"/>
      <color theme="1"/>
      <name val="Calibri"/>
      <family val="2"/>
      <scheme val="minor"/>
    </font>
    <font>
      <b/>
      <u/>
      <sz val="11"/>
      <name val="Arial"/>
      <family val="2"/>
    </font>
    <font>
      <b/>
      <sz val="10"/>
      <name val="Arial"/>
      <family val="2"/>
    </font>
    <font>
      <sz val="10"/>
      <color indexed="10"/>
      <name val="Arial"/>
      <family val="2"/>
    </font>
    <font>
      <u/>
      <sz val="11"/>
      <color theme="1"/>
      <name val="Calibri"/>
      <family val="2"/>
      <scheme val="minor"/>
    </font>
    <font>
      <b/>
      <u/>
      <sz val="11"/>
      <color theme="1"/>
      <name val="Calibri"/>
      <family val="2"/>
      <scheme val="minor"/>
    </font>
  </fonts>
  <fills count="7">
    <fill>
      <patternFill patternType="none"/>
    </fill>
    <fill>
      <patternFill patternType="gray125"/>
    </fill>
    <fill>
      <patternFill patternType="solid">
        <fgColor rgb="FFFF99CC"/>
        <bgColor indexed="64"/>
      </patternFill>
    </fill>
    <fill>
      <patternFill patternType="solid">
        <fgColor theme="0"/>
        <bgColor indexed="64"/>
      </patternFill>
    </fill>
    <fill>
      <patternFill patternType="solid">
        <fgColor indexed="42"/>
        <bgColor indexed="64"/>
      </patternFill>
    </fill>
    <fill>
      <patternFill patternType="solid">
        <fgColor indexed="45"/>
        <bgColor indexed="64"/>
      </patternFill>
    </fill>
    <fill>
      <patternFill patternType="solid">
        <fgColor rgb="FFFFFF99"/>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top style="thin">
        <color indexed="9"/>
      </top>
      <bottom style="thin">
        <color indexed="9"/>
      </bottom>
      <diagonal/>
    </border>
    <border>
      <left style="medium">
        <color indexed="9"/>
      </left>
      <right style="medium">
        <color indexed="9"/>
      </right>
      <top/>
      <bottom style="medium">
        <color indexed="64"/>
      </bottom>
      <diagonal/>
    </border>
    <border>
      <left style="medium">
        <color indexed="9"/>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9"/>
      </left>
      <right/>
      <top style="thin">
        <color indexed="64"/>
      </top>
      <bottom/>
      <diagonal/>
    </border>
    <border>
      <left style="thin">
        <color indexed="9"/>
      </left>
      <right style="thin">
        <color indexed="9"/>
      </right>
      <top style="thin">
        <color indexed="64"/>
      </top>
      <bottom/>
      <diagonal/>
    </border>
    <border>
      <left style="medium">
        <color indexed="9"/>
      </left>
      <right/>
      <top style="medium">
        <color indexed="64"/>
      </top>
      <bottom/>
      <diagonal/>
    </border>
    <border>
      <left style="medium">
        <color indexed="9"/>
      </left>
      <right/>
      <top/>
      <bottom style="thin">
        <color indexed="64"/>
      </bottom>
      <diagonal/>
    </border>
    <border>
      <left style="medium">
        <color indexed="9"/>
      </left>
      <right style="medium">
        <color indexed="9"/>
      </right>
      <top style="medium">
        <color indexed="64"/>
      </top>
      <bottom/>
      <diagonal/>
    </border>
    <border>
      <left style="medium">
        <color indexed="9"/>
      </left>
      <right style="medium">
        <color indexed="9"/>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3" fillId="0" borderId="4" xfId="0" applyFont="1" applyBorder="1" applyAlignment="1">
      <alignment vertical="center"/>
    </xf>
    <xf numFmtId="0" fontId="3" fillId="0" borderId="4" xfId="0" applyFont="1" applyBorder="1" applyAlignment="1">
      <alignment horizontal="right" vertical="center"/>
    </xf>
    <xf numFmtId="167" fontId="3" fillId="2" borderId="4" xfId="1" applyNumberFormat="1" applyFont="1" applyFill="1" applyBorder="1" applyAlignment="1">
      <alignment horizontal="center" vertical="center"/>
    </xf>
    <xf numFmtId="168" fontId="3" fillId="2" borderId="4" xfId="2" applyNumberFormat="1" applyFont="1" applyFill="1" applyBorder="1" applyAlignment="1">
      <alignment horizontal="center" vertical="center"/>
    </xf>
    <xf numFmtId="0" fontId="3" fillId="0" borderId="0" xfId="0" applyFont="1"/>
    <xf numFmtId="0" fontId="3" fillId="0" borderId="4" xfId="0" applyFont="1" applyBorder="1" applyAlignment="1">
      <alignment horizontal="center" vertical="center"/>
    </xf>
    <xf numFmtId="0" fontId="3" fillId="0" borderId="4" xfId="0" quotePrefix="1" applyFont="1" applyBorder="1" applyAlignment="1">
      <alignment horizontal="center" vertical="center" wrapText="1"/>
    </xf>
    <xf numFmtId="167" fontId="3" fillId="0" borderId="4" xfId="1" applyNumberFormat="1" applyFont="1" applyFill="1" applyBorder="1" applyAlignment="1">
      <alignment horizontal="center" vertical="center"/>
    </xf>
    <xf numFmtId="168" fontId="3" fillId="0" borderId="4" xfId="2" applyNumberFormat="1" applyFont="1" applyFill="1" applyBorder="1" applyAlignment="1">
      <alignment horizontal="center" vertical="center"/>
    </xf>
    <xf numFmtId="165" fontId="3" fillId="2" borderId="4" xfId="1" applyNumberFormat="1" applyFont="1" applyFill="1" applyBorder="1" applyAlignment="1">
      <alignment horizontal="center" vertical="center"/>
    </xf>
    <xf numFmtId="166" fontId="3" fillId="2" borderId="4" xfId="1" applyNumberFormat="1" applyFont="1" applyFill="1" applyBorder="1" applyAlignment="1">
      <alignment horizontal="center" vertical="center"/>
    </xf>
    <xf numFmtId="0" fontId="2" fillId="0" borderId="1" xfId="0" applyFont="1" applyBorder="1" applyAlignment="1">
      <alignment horizontal="left" vertical="center" wrapText="1"/>
    </xf>
    <xf numFmtId="169" fontId="0" fillId="0" borderId="0" xfId="1" applyNumberFormat="1" applyFont="1"/>
    <xf numFmtId="168" fontId="0" fillId="0" borderId="4" xfId="0" applyNumberFormat="1" applyBorder="1" applyAlignment="1">
      <alignment horizontal="center" vertical="center"/>
    </xf>
    <xf numFmtId="0" fontId="3" fillId="0" borderId="1" xfId="0" applyFont="1" applyBorder="1" applyAlignment="1">
      <alignment horizontal="left" vertical="center"/>
    </xf>
    <xf numFmtId="0" fontId="4" fillId="0" borderId="0" xfId="0" applyFont="1" applyAlignment="1">
      <alignment vertical="center"/>
    </xf>
    <xf numFmtId="0" fontId="0" fillId="0" borderId="0" xfId="0" applyAlignment="1">
      <alignment vertical="center"/>
    </xf>
    <xf numFmtId="168" fontId="0" fillId="2" borderId="4" xfId="2" applyNumberFormat="1" applyFont="1" applyFill="1" applyBorder="1" applyAlignment="1">
      <alignment horizontal="center" vertical="center"/>
    </xf>
    <xf numFmtId="170" fontId="0" fillId="0" borderId="4" xfId="0" applyNumberFormat="1" applyBorder="1" applyAlignment="1">
      <alignment horizontal="center" vertical="center"/>
    </xf>
    <xf numFmtId="170" fontId="0" fillId="2" borderId="4" xfId="0" applyNumberFormat="1" applyFill="1" applyBorder="1" applyAlignment="1">
      <alignment horizontal="center" vertical="center"/>
    </xf>
    <xf numFmtId="2" fontId="0" fillId="0" borderId="4" xfId="0" applyNumberFormat="1" applyBorder="1" applyAlignment="1">
      <alignment horizontal="center" vertical="center"/>
    </xf>
    <xf numFmtId="2" fontId="0" fillId="2" borderId="4" xfId="0" applyNumberFormat="1" applyFill="1" applyBorder="1" applyAlignment="1">
      <alignment horizontal="center" vertical="center"/>
    </xf>
    <xf numFmtId="165" fontId="3" fillId="3" borderId="4" xfId="1" applyNumberFormat="1" applyFont="1" applyFill="1" applyBorder="1" applyAlignment="1">
      <alignment horizontal="center" vertical="center"/>
    </xf>
    <xf numFmtId="165" fontId="3" fillId="3" borderId="4" xfId="1" applyNumberFormat="1" applyFont="1" applyFill="1" applyBorder="1" applyAlignment="1" applyProtection="1">
      <alignment horizontal="center" vertical="center"/>
    </xf>
    <xf numFmtId="166" fontId="3" fillId="2" borderId="4" xfId="1" applyNumberFormat="1" applyFont="1" applyFill="1" applyBorder="1" applyAlignment="1" applyProtection="1">
      <alignment horizontal="center" vertical="center"/>
    </xf>
    <xf numFmtId="167" fontId="3" fillId="2" borderId="4" xfId="1" applyNumberFormat="1" applyFont="1" applyFill="1" applyBorder="1" applyAlignment="1" applyProtection="1">
      <alignment horizontal="center" vertical="center"/>
    </xf>
    <xf numFmtId="168" fontId="3" fillId="2" borderId="4" xfId="2" applyNumberFormat="1" applyFont="1" applyFill="1" applyBorder="1" applyAlignment="1" applyProtection="1">
      <alignment horizontal="center" vertical="center"/>
    </xf>
    <xf numFmtId="0" fontId="0" fillId="0" borderId="10" xfId="0" applyBorder="1" applyAlignment="1" applyProtection="1">
      <alignment vertical="center" wrapText="1"/>
      <protection hidden="1"/>
    </xf>
    <xf numFmtId="0" fontId="0" fillId="0" borderId="11" xfId="0"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Alignment="1">
      <alignment vertical="center" wrapText="1"/>
    </xf>
    <xf numFmtId="0" fontId="0" fillId="0" borderId="4" xfId="0" applyBorder="1" applyAlignment="1" applyProtection="1">
      <alignment vertical="center" wrapText="1"/>
      <protection hidden="1"/>
    </xf>
    <xf numFmtId="0" fontId="0" fillId="0" borderId="4" xfId="0" applyBorder="1" applyAlignment="1" applyProtection="1">
      <alignment horizontal="left" vertical="top" wrapText="1"/>
      <protection hidden="1"/>
    </xf>
    <xf numFmtId="0" fontId="0" fillId="5" borderId="4" xfId="0" applyFill="1" applyBorder="1" applyAlignment="1" applyProtection="1">
      <alignment horizontal="center" vertical="center" wrapText="1"/>
      <protection hidden="1"/>
    </xf>
    <xf numFmtId="0" fontId="0" fillId="0" borderId="0" xfId="0" applyAlignment="1">
      <alignment vertical="top"/>
    </xf>
    <xf numFmtId="0" fontId="0" fillId="0" borderId="7" xfId="0" applyBorder="1" applyAlignment="1" applyProtection="1">
      <alignment horizontal="left" vertical="top" wrapText="1"/>
      <protection hidden="1"/>
    </xf>
    <xf numFmtId="0" fontId="0" fillId="6" borderId="4" xfId="0" applyFill="1" applyBorder="1" applyAlignment="1" applyProtection="1">
      <alignment horizontal="center" vertical="center" wrapText="1"/>
      <protection hidden="1"/>
    </xf>
    <xf numFmtId="165" fontId="3" fillId="6" borderId="4" xfId="1" applyNumberFormat="1" applyFont="1" applyFill="1" applyBorder="1" applyAlignment="1" applyProtection="1">
      <alignment horizontal="center" vertical="center"/>
    </xf>
    <xf numFmtId="166" fontId="3" fillId="6" borderId="4" xfId="1" applyNumberFormat="1" applyFont="1" applyFill="1" applyBorder="1" applyAlignment="1" applyProtection="1">
      <alignment horizontal="center" vertical="center"/>
    </xf>
    <xf numFmtId="14" fontId="3" fillId="6" borderId="4" xfId="0" applyNumberFormat="1" applyFont="1" applyFill="1" applyBorder="1" applyAlignment="1">
      <alignment horizontal="center" vertical="center"/>
    </xf>
    <xf numFmtId="167" fontId="3" fillId="6" borderId="4" xfId="1" applyNumberFormat="1" applyFont="1" applyFill="1" applyBorder="1" applyAlignment="1" applyProtection="1">
      <alignment horizontal="center" vertical="center"/>
    </xf>
    <xf numFmtId="168" fontId="3" fillId="6" borderId="4" xfId="2" applyNumberFormat="1" applyFont="1" applyFill="1" applyBorder="1" applyAlignment="1" applyProtection="1">
      <alignment horizontal="center" vertical="center"/>
    </xf>
    <xf numFmtId="166" fontId="3" fillId="6" borderId="4" xfId="1" applyNumberFormat="1" applyFont="1" applyFill="1" applyBorder="1" applyAlignment="1">
      <alignment horizontal="center" vertical="center"/>
    </xf>
    <xf numFmtId="168" fontId="3" fillId="6" borderId="4" xfId="2" applyNumberFormat="1" applyFont="1" applyFill="1" applyBorder="1" applyAlignment="1">
      <alignment horizontal="center" vertical="center"/>
    </xf>
    <xf numFmtId="165" fontId="3" fillId="6" borderId="4" xfId="1" applyNumberFormat="1" applyFont="1" applyFill="1" applyBorder="1" applyAlignment="1" applyProtection="1">
      <alignment horizontal="center" vertical="center"/>
      <protection locked="0"/>
    </xf>
    <xf numFmtId="166" fontId="3" fillId="6" borderId="4" xfId="1" applyNumberFormat="1" applyFont="1" applyFill="1" applyBorder="1" applyAlignment="1" applyProtection="1">
      <alignment horizontal="center" vertical="center"/>
      <protection locked="0"/>
    </xf>
    <xf numFmtId="14" fontId="3" fillId="6" borderId="4" xfId="0" applyNumberFormat="1" applyFont="1" applyFill="1" applyBorder="1" applyAlignment="1" applyProtection="1">
      <alignment horizontal="center" vertical="center"/>
      <protection locked="0"/>
    </xf>
    <xf numFmtId="165" fontId="3" fillId="6" borderId="4" xfId="1" applyNumberFormat="1" applyFont="1" applyFill="1" applyBorder="1" applyAlignment="1">
      <alignment horizontal="center" vertical="center"/>
    </xf>
    <xf numFmtId="168" fontId="3" fillId="6" borderId="4" xfId="2" applyNumberFormat="1" applyFont="1" applyFill="1" applyBorder="1" applyAlignment="1" applyProtection="1">
      <alignment horizontal="center" vertical="center"/>
      <protection locked="0"/>
    </xf>
    <xf numFmtId="167" fontId="3" fillId="6" borderId="4" xfId="1" applyNumberFormat="1" applyFont="1" applyFill="1" applyBorder="1" applyAlignment="1" applyProtection="1">
      <alignment horizontal="center" vertical="center"/>
      <protection locked="0"/>
    </xf>
    <xf numFmtId="14" fontId="3" fillId="6" borderId="4" xfId="0" applyNumberFormat="1" applyFont="1" applyFill="1" applyBorder="1" applyAlignment="1">
      <alignment vertical="center"/>
    </xf>
    <xf numFmtId="167" fontId="3" fillId="6" borderId="4" xfId="1" applyNumberFormat="1" applyFont="1" applyFill="1" applyBorder="1" applyAlignment="1">
      <alignment horizontal="center" vertical="center"/>
    </xf>
    <xf numFmtId="0" fontId="0" fillId="0" borderId="4" xfId="0" applyBorder="1" applyAlignment="1">
      <alignment vertical="center" wrapText="1"/>
    </xf>
    <xf numFmtId="0" fontId="0" fillId="0" borderId="16" xfId="0" applyBorder="1" applyAlignment="1" applyProtection="1">
      <alignment horizontal="right" vertical="center" wrapText="1"/>
      <protection hidden="1"/>
    </xf>
    <xf numFmtId="0" fontId="0" fillId="0" borderId="15" xfId="0" applyBorder="1" applyAlignment="1" applyProtection="1">
      <alignment vertical="center" wrapText="1"/>
      <protection hidden="1"/>
    </xf>
    <xf numFmtId="0" fontId="7" fillId="3" borderId="4" xfId="0" applyFont="1" applyFill="1" applyBorder="1" applyAlignment="1">
      <alignment vertical="center" wrapText="1"/>
    </xf>
    <xf numFmtId="0" fontId="7" fillId="0" borderId="4" xfId="0" applyFont="1" applyBorder="1" applyAlignment="1" applyProtection="1">
      <alignment horizontal="center" vertical="center" wrapText="1"/>
      <protection hidden="1"/>
    </xf>
    <xf numFmtId="0" fontId="0" fillId="0" borderId="17" xfId="0" applyBorder="1" applyAlignment="1" applyProtection="1">
      <alignment vertical="center" wrapText="1"/>
      <protection hidden="1"/>
    </xf>
    <xf numFmtId="0" fontId="8" fillId="0" borderId="18" xfId="0" applyFont="1" applyBorder="1" applyAlignment="1" applyProtection="1">
      <alignment vertical="center" wrapText="1"/>
      <protection hidden="1"/>
    </xf>
    <xf numFmtId="0" fontId="0" fillId="0" borderId="19" xfId="0" applyBorder="1" applyAlignment="1" applyProtection="1">
      <alignment vertical="center" wrapText="1"/>
      <protection hidden="1"/>
    </xf>
    <xf numFmtId="0" fontId="0" fillId="0" borderId="20" xfId="0" applyBorder="1" applyAlignment="1" applyProtection="1">
      <alignment vertical="center" wrapText="1"/>
      <protection hidden="1"/>
    </xf>
    <xf numFmtId="0" fontId="7" fillId="4" borderId="4" xfId="0" applyFont="1" applyFill="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top" wrapText="1"/>
    </xf>
    <xf numFmtId="0" fontId="3" fillId="0" borderId="0" xfId="0" applyFont="1" applyAlignment="1">
      <alignment vertical="center"/>
    </xf>
    <xf numFmtId="0" fontId="0" fillId="0" borderId="4" xfId="0" applyBorder="1" applyAlignment="1" applyProtection="1">
      <alignment horizontal="left" vertical="top" wrapText="1"/>
      <protection hidden="1"/>
    </xf>
    <xf numFmtId="0" fontId="6" fillId="4" borderId="13" xfId="0" applyFont="1" applyFill="1" applyBorder="1" applyAlignment="1">
      <alignment horizontal="center"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165" fontId="3" fillId="0" borderId="1" xfId="1" applyNumberFormat="1" applyFont="1" applyFill="1" applyBorder="1" applyAlignment="1">
      <alignment horizontal="center" vertical="center"/>
    </xf>
    <xf numFmtId="165" fontId="3" fillId="0" borderId="3" xfId="1"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168" fontId="0" fillId="0" borderId="7" xfId="0" applyNumberFormat="1" applyBorder="1" applyAlignment="1">
      <alignment horizontal="center" vertical="center"/>
    </xf>
    <xf numFmtId="168" fontId="0" fillId="0" borderId="8" xfId="0" applyNumberFormat="1" applyBorder="1" applyAlignment="1">
      <alignment horizontal="center" vertical="center"/>
    </xf>
    <xf numFmtId="168" fontId="0" fillId="0" borderId="9"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67" fontId="3" fillId="0" borderId="1" xfId="1" applyNumberFormat="1" applyFont="1" applyFill="1" applyBorder="1" applyAlignment="1">
      <alignment horizontal="left" vertical="center"/>
    </xf>
    <xf numFmtId="167" fontId="3" fillId="0" borderId="2" xfId="1" applyNumberFormat="1" applyFont="1" applyFill="1" applyBorder="1" applyAlignment="1">
      <alignment horizontal="left" vertical="center"/>
    </xf>
    <xf numFmtId="167" fontId="3" fillId="0" borderId="3" xfId="1" applyNumberFormat="1" applyFont="1" applyFill="1" applyBorder="1" applyAlignment="1">
      <alignment horizontal="left" vertical="center"/>
    </xf>
    <xf numFmtId="165" fontId="3" fillId="0" borderId="2" xfId="1"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166" fontId="3" fillId="0" borderId="1" xfId="1" applyNumberFormat="1" applyFont="1" applyFill="1" applyBorder="1" applyAlignment="1">
      <alignment horizontal="left" vertical="center"/>
    </xf>
    <xf numFmtId="166" fontId="3" fillId="0" borderId="3" xfId="1" applyNumberFormat="1" applyFont="1" applyFill="1" applyBorder="1" applyAlignment="1">
      <alignment horizontal="left" vertical="center"/>
    </xf>
    <xf numFmtId="0" fontId="2" fillId="0" borderId="0" xfId="0" applyFont="1" applyAlignment="1">
      <alignment horizontal="left" vertical="top" wrapText="1"/>
    </xf>
    <xf numFmtId="0" fontId="0" fillId="0" borderId="14" xfId="0" applyBorder="1" applyAlignment="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xdr:row>
      <xdr:rowOff>71438</xdr:rowOff>
    </xdr:from>
    <xdr:to>
      <xdr:col>11</xdr:col>
      <xdr:colOff>90723</xdr:colOff>
      <xdr:row>41</xdr:row>
      <xdr:rowOff>126954</xdr:rowOff>
    </xdr:to>
    <xdr:pic>
      <xdr:nvPicPr>
        <xdr:cNvPr id="2" name="Picture 1">
          <a:extLst>
            <a:ext uri="{FF2B5EF4-FFF2-40B4-BE49-F238E27FC236}">
              <a16:creationId xmlns:a16="http://schemas.microsoft.com/office/drawing/2014/main" id="{01B65210-6BAB-274D-8004-9477CE277663}"/>
            </a:ext>
          </a:extLst>
        </xdr:cNvPr>
        <xdr:cNvPicPr>
          <a:picLocks noChangeAspect="1"/>
        </xdr:cNvPicPr>
      </xdr:nvPicPr>
      <xdr:blipFill>
        <a:blip xmlns:r="http://schemas.openxmlformats.org/officeDocument/2006/relationships" r:embed="rId1"/>
        <a:stretch>
          <a:fillRect/>
        </a:stretch>
      </xdr:blipFill>
      <xdr:spPr>
        <a:xfrm>
          <a:off x="85725" y="252413"/>
          <a:ext cx="7129698" cy="7294516"/>
        </a:xfrm>
        <a:prstGeom prst="rect">
          <a:avLst/>
        </a:prstGeom>
        <a:ln w="9525">
          <a:solidFill>
            <a:sysClr val="windowText" lastClr="000000"/>
          </a:solidFill>
        </a:ln>
      </xdr:spPr>
    </xdr:pic>
    <xdr:clientData/>
  </xdr:twoCellAnchor>
  <xdr:twoCellAnchor editAs="oneCell">
    <xdr:from>
      <xdr:col>0</xdr:col>
      <xdr:colOff>71439</xdr:colOff>
      <xdr:row>42</xdr:row>
      <xdr:rowOff>77929</xdr:rowOff>
    </xdr:from>
    <xdr:to>
      <xdr:col>11</xdr:col>
      <xdr:colOff>104775</xdr:colOff>
      <xdr:row>64</xdr:row>
      <xdr:rowOff>89620</xdr:rowOff>
    </xdr:to>
    <xdr:pic>
      <xdr:nvPicPr>
        <xdr:cNvPr id="3" name="Picture 2">
          <a:extLst>
            <a:ext uri="{FF2B5EF4-FFF2-40B4-BE49-F238E27FC236}">
              <a16:creationId xmlns:a16="http://schemas.microsoft.com/office/drawing/2014/main" id="{A1F9E5F5-2590-BB0E-F3D6-190B57AA6147}"/>
            </a:ext>
          </a:extLst>
        </xdr:cNvPr>
        <xdr:cNvPicPr>
          <a:picLocks noChangeAspect="1"/>
        </xdr:cNvPicPr>
      </xdr:nvPicPr>
      <xdr:blipFill>
        <a:blip xmlns:r="http://schemas.openxmlformats.org/officeDocument/2006/relationships" r:embed="rId2"/>
        <a:stretch>
          <a:fillRect/>
        </a:stretch>
      </xdr:blipFill>
      <xdr:spPr>
        <a:xfrm>
          <a:off x="71439" y="7678879"/>
          <a:ext cx="7158036" cy="3993141"/>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1E663-4D10-495E-B146-76D1FED3B276}">
  <sheetPr>
    <pageSetUpPr fitToPage="1"/>
  </sheetPr>
  <dimension ref="A1:C164"/>
  <sheetViews>
    <sheetView tabSelected="1" workbookViewId="0">
      <selection activeCell="C6" sqref="C6"/>
    </sheetView>
  </sheetViews>
  <sheetFormatPr defaultRowHeight="15"/>
  <cols>
    <col min="1" max="1" width="1.85546875" customWidth="1"/>
    <col min="2" max="2" width="14.28515625" style="35" customWidth="1"/>
    <col min="3" max="3" width="108.42578125" customWidth="1"/>
    <col min="249" max="249" width="1.85546875" customWidth="1"/>
    <col min="250" max="250" width="10.5703125" customWidth="1"/>
    <col min="251" max="251" width="108.42578125" customWidth="1"/>
    <col min="252" max="252" width="4.7109375" customWidth="1"/>
    <col min="256" max="256" width="9" customWidth="1"/>
    <col min="257" max="257" width="0" hidden="1" customWidth="1"/>
    <col min="505" max="505" width="1.85546875" customWidth="1"/>
    <col min="506" max="506" width="10.5703125" customWidth="1"/>
    <col min="507" max="507" width="108.42578125" customWidth="1"/>
    <col min="508" max="508" width="4.7109375" customWidth="1"/>
    <col min="512" max="512" width="9" customWidth="1"/>
    <col min="513" max="513" width="0" hidden="1" customWidth="1"/>
    <col min="761" max="761" width="1.85546875" customWidth="1"/>
    <col min="762" max="762" width="10.5703125" customWidth="1"/>
    <col min="763" max="763" width="108.42578125" customWidth="1"/>
    <col min="764" max="764" width="4.7109375" customWidth="1"/>
    <col min="768" max="768" width="9" customWidth="1"/>
    <col min="769" max="769" width="0" hidden="1" customWidth="1"/>
    <col min="1017" max="1017" width="1.85546875" customWidth="1"/>
    <col min="1018" max="1018" width="10.5703125" customWidth="1"/>
    <col min="1019" max="1019" width="108.42578125" customWidth="1"/>
    <col min="1020" max="1020" width="4.7109375" customWidth="1"/>
    <col min="1024" max="1024" width="9" customWidth="1"/>
    <col min="1025" max="1025" width="0" hidden="1" customWidth="1"/>
    <col min="1273" max="1273" width="1.85546875" customWidth="1"/>
    <col min="1274" max="1274" width="10.5703125" customWidth="1"/>
    <col min="1275" max="1275" width="108.42578125" customWidth="1"/>
    <col min="1276" max="1276" width="4.7109375" customWidth="1"/>
    <col min="1280" max="1280" width="9" customWidth="1"/>
    <col min="1281" max="1281" width="0" hidden="1" customWidth="1"/>
    <col min="1529" max="1529" width="1.85546875" customWidth="1"/>
    <col min="1530" max="1530" width="10.5703125" customWidth="1"/>
    <col min="1531" max="1531" width="108.42578125" customWidth="1"/>
    <col min="1532" max="1532" width="4.7109375" customWidth="1"/>
    <col min="1536" max="1536" width="9" customWidth="1"/>
    <col min="1537" max="1537" width="0" hidden="1" customWidth="1"/>
    <col min="1785" max="1785" width="1.85546875" customWidth="1"/>
    <col min="1786" max="1786" width="10.5703125" customWidth="1"/>
    <col min="1787" max="1787" width="108.42578125" customWidth="1"/>
    <col min="1788" max="1788" width="4.7109375" customWidth="1"/>
    <col min="1792" max="1792" width="9" customWidth="1"/>
    <col min="1793" max="1793" width="0" hidden="1" customWidth="1"/>
    <col min="2041" max="2041" width="1.85546875" customWidth="1"/>
    <col min="2042" max="2042" width="10.5703125" customWidth="1"/>
    <col min="2043" max="2043" width="108.42578125" customWidth="1"/>
    <col min="2044" max="2044" width="4.7109375" customWidth="1"/>
    <col min="2048" max="2048" width="9" customWidth="1"/>
    <col min="2049" max="2049" width="0" hidden="1" customWidth="1"/>
    <col min="2297" max="2297" width="1.85546875" customWidth="1"/>
    <col min="2298" max="2298" width="10.5703125" customWidth="1"/>
    <col min="2299" max="2299" width="108.42578125" customWidth="1"/>
    <col min="2300" max="2300" width="4.7109375" customWidth="1"/>
    <col min="2304" max="2304" width="9" customWidth="1"/>
    <col min="2305" max="2305" width="0" hidden="1" customWidth="1"/>
    <col min="2553" max="2553" width="1.85546875" customWidth="1"/>
    <col min="2554" max="2554" width="10.5703125" customWidth="1"/>
    <col min="2555" max="2555" width="108.42578125" customWidth="1"/>
    <col min="2556" max="2556" width="4.7109375" customWidth="1"/>
    <col min="2560" max="2560" width="9" customWidth="1"/>
    <col min="2561" max="2561" width="0" hidden="1" customWidth="1"/>
    <col min="2809" max="2809" width="1.85546875" customWidth="1"/>
    <col min="2810" max="2810" width="10.5703125" customWidth="1"/>
    <col min="2811" max="2811" width="108.42578125" customWidth="1"/>
    <col min="2812" max="2812" width="4.7109375" customWidth="1"/>
    <col min="2816" max="2816" width="9" customWidth="1"/>
    <col min="2817" max="2817" width="0" hidden="1" customWidth="1"/>
    <col min="3065" max="3065" width="1.85546875" customWidth="1"/>
    <col min="3066" max="3066" width="10.5703125" customWidth="1"/>
    <col min="3067" max="3067" width="108.42578125" customWidth="1"/>
    <col min="3068" max="3068" width="4.7109375" customWidth="1"/>
    <col min="3072" max="3072" width="9" customWidth="1"/>
    <col min="3073" max="3073" width="0" hidden="1" customWidth="1"/>
    <col min="3321" max="3321" width="1.85546875" customWidth="1"/>
    <col min="3322" max="3322" width="10.5703125" customWidth="1"/>
    <col min="3323" max="3323" width="108.42578125" customWidth="1"/>
    <col min="3324" max="3324" width="4.7109375" customWidth="1"/>
    <col min="3328" max="3328" width="9" customWidth="1"/>
    <col min="3329" max="3329" width="0" hidden="1" customWidth="1"/>
    <col min="3577" max="3577" width="1.85546875" customWidth="1"/>
    <col min="3578" max="3578" width="10.5703125" customWidth="1"/>
    <col min="3579" max="3579" width="108.42578125" customWidth="1"/>
    <col min="3580" max="3580" width="4.7109375" customWidth="1"/>
    <col min="3584" max="3584" width="9" customWidth="1"/>
    <col min="3585" max="3585" width="0" hidden="1" customWidth="1"/>
    <col min="3833" max="3833" width="1.85546875" customWidth="1"/>
    <col min="3834" max="3834" width="10.5703125" customWidth="1"/>
    <col min="3835" max="3835" width="108.42578125" customWidth="1"/>
    <col min="3836" max="3836" width="4.7109375" customWidth="1"/>
    <col min="3840" max="3840" width="9" customWidth="1"/>
    <col min="3841" max="3841" width="0" hidden="1" customWidth="1"/>
    <col min="4089" max="4089" width="1.85546875" customWidth="1"/>
    <col min="4090" max="4090" width="10.5703125" customWidth="1"/>
    <col min="4091" max="4091" width="108.42578125" customWidth="1"/>
    <col min="4092" max="4092" width="4.7109375" customWidth="1"/>
    <col min="4096" max="4096" width="9" customWidth="1"/>
    <col min="4097" max="4097" width="0" hidden="1" customWidth="1"/>
    <col min="4345" max="4345" width="1.85546875" customWidth="1"/>
    <col min="4346" max="4346" width="10.5703125" customWidth="1"/>
    <col min="4347" max="4347" width="108.42578125" customWidth="1"/>
    <col min="4348" max="4348" width="4.7109375" customWidth="1"/>
    <col min="4352" max="4352" width="9" customWidth="1"/>
    <col min="4353" max="4353" width="0" hidden="1" customWidth="1"/>
    <col min="4601" max="4601" width="1.85546875" customWidth="1"/>
    <col min="4602" max="4602" width="10.5703125" customWidth="1"/>
    <col min="4603" max="4603" width="108.42578125" customWidth="1"/>
    <col min="4604" max="4604" width="4.7109375" customWidth="1"/>
    <col min="4608" max="4608" width="9" customWidth="1"/>
    <col min="4609" max="4609" width="0" hidden="1" customWidth="1"/>
    <col min="4857" max="4857" width="1.85546875" customWidth="1"/>
    <col min="4858" max="4858" width="10.5703125" customWidth="1"/>
    <col min="4859" max="4859" width="108.42578125" customWidth="1"/>
    <col min="4860" max="4860" width="4.7109375" customWidth="1"/>
    <col min="4864" max="4864" width="9" customWidth="1"/>
    <col min="4865" max="4865" width="0" hidden="1" customWidth="1"/>
    <col min="5113" max="5113" width="1.85546875" customWidth="1"/>
    <col min="5114" max="5114" width="10.5703125" customWidth="1"/>
    <col min="5115" max="5115" width="108.42578125" customWidth="1"/>
    <col min="5116" max="5116" width="4.7109375" customWidth="1"/>
    <col min="5120" max="5120" width="9" customWidth="1"/>
    <col min="5121" max="5121" width="0" hidden="1" customWidth="1"/>
    <col min="5369" max="5369" width="1.85546875" customWidth="1"/>
    <col min="5370" max="5370" width="10.5703125" customWidth="1"/>
    <col min="5371" max="5371" width="108.42578125" customWidth="1"/>
    <col min="5372" max="5372" width="4.7109375" customWidth="1"/>
    <col min="5376" max="5376" width="9" customWidth="1"/>
    <col min="5377" max="5377" width="0" hidden="1" customWidth="1"/>
    <col min="5625" max="5625" width="1.85546875" customWidth="1"/>
    <col min="5626" max="5626" width="10.5703125" customWidth="1"/>
    <col min="5627" max="5627" width="108.42578125" customWidth="1"/>
    <col min="5628" max="5628" width="4.7109375" customWidth="1"/>
    <col min="5632" max="5632" width="9" customWidth="1"/>
    <col min="5633" max="5633" width="0" hidden="1" customWidth="1"/>
    <col min="5881" max="5881" width="1.85546875" customWidth="1"/>
    <col min="5882" max="5882" width="10.5703125" customWidth="1"/>
    <col min="5883" max="5883" width="108.42578125" customWidth="1"/>
    <col min="5884" max="5884" width="4.7109375" customWidth="1"/>
    <col min="5888" max="5888" width="9" customWidth="1"/>
    <col min="5889" max="5889" width="0" hidden="1" customWidth="1"/>
    <col min="6137" max="6137" width="1.85546875" customWidth="1"/>
    <col min="6138" max="6138" width="10.5703125" customWidth="1"/>
    <col min="6139" max="6139" width="108.42578125" customWidth="1"/>
    <col min="6140" max="6140" width="4.7109375" customWidth="1"/>
    <col min="6144" max="6144" width="9" customWidth="1"/>
    <col min="6145" max="6145" width="0" hidden="1" customWidth="1"/>
    <col min="6393" max="6393" width="1.85546875" customWidth="1"/>
    <col min="6394" max="6394" width="10.5703125" customWidth="1"/>
    <col min="6395" max="6395" width="108.42578125" customWidth="1"/>
    <col min="6396" max="6396" width="4.7109375" customWidth="1"/>
    <col min="6400" max="6400" width="9" customWidth="1"/>
    <col min="6401" max="6401" width="0" hidden="1" customWidth="1"/>
    <col min="6649" max="6649" width="1.85546875" customWidth="1"/>
    <col min="6650" max="6650" width="10.5703125" customWidth="1"/>
    <col min="6651" max="6651" width="108.42578125" customWidth="1"/>
    <col min="6652" max="6652" width="4.7109375" customWidth="1"/>
    <col min="6656" max="6656" width="9" customWidth="1"/>
    <col min="6657" max="6657" width="0" hidden="1" customWidth="1"/>
    <col min="6905" max="6905" width="1.85546875" customWidth="1"/>
    <col min="6906" max="6906" width="10.5703125" customWidth="1"/>
    <col min="6907" max="6907" width="108.42578125" customWidth="1"/>
    <col min="6908" max="6908" width="4.7109375" customWidth="1"/>
    <col min="6912" max="6912" width="9" customWidth="1"/>
    <col min="6913" max="6913" width="0" hidden="1" customWidth="1"/>
    <col min="7161" max="7161" width="1.85546875" customWidth="1"/>
    <col min="7162" max="7162" width="10.5703125" customWidth="1"/>
    <col min="7163" max="7163" width="108.42578125" customWidth="1"/>
    <col min="7164" max="7164" width="4.7109375" customWidth="1"/>
    <col min="7168" max="7168" width="9" customWidth="1"/>
    <col min="7169" max="7169" width="0" hidden="1" customWidth="1"/>
    <col min="7417" max="7417" width="1.85546875" customWidth="1"/>
    <col min="7418" max="7418" width="10.5703125" customWidth="1"/>
    <col min="7419" max="7419" width="108.42578125" customWidth="1"/>
    <col min="7420" max="7420" width="4.7109375" customWidth="1"/>
    <col min="7424" max="7424" width="9" customWidth="1"/>
    <col min="7425" max="7425" width="0" hidden="1" customWidth="1"/>
    <col min="7673" max="7673" width="1.85546875" customWidth="1"/>
    <col min="7674" max="7674" width="10.5703125" customWidth="1"/>
    <col min="7675" max="7675" width="108.42578125" customWidth="1"/>
    <col min="7676" max="7676" width="4.7109375" customWidth="1"/>
    <col min="7680" max="7680" width="9" customWidth="1"/>
    <col min="7681" max="7681" width="0" hidden="1" customWidth="1"/>
    <col min="7929" max="7929" width="1.85546875" customWidth="1"/>
    <col min="7930" max="7930" width="10.5703125" customWidth="1"/>
    <col min="7931" max="7931" width="108.42578125" customWidth="1"/>
    <col min="7932" max="7932" width="4.7109375" customWidth="1"/>
    <col min="7936" max="7936" width="9" customWidth="1"/>
    <col min="7937" max="7937" width="0" hidden="1" customWidth="1"/>
    <col min="8185" max="8185" width="1.85546875" customWidth="1"/>
    <col min="8186" max="8186" width="10.5703125" customWidth="1"/>
    <col min="8187" max="8187" width="108.42578125" customWidth="1"/>
    <col min="8188" max="8188" width="4.7109375" customWidth="1"/>
    <col min="8192" max="8192" width="9" customWidth="1"/>
    <col min="8193" max="8193" width="0" hidden="1" customWidth="1"/>
    <col min="8441" max="8441" width="1.85546875" customWidth="1"/>
    <col min="8442" max="8442" width="10.5703125" customWidth="1"/>
    <col min="8443" max="8443" width="108.42578125" customWidth="1"/>
    <col min="8444" max="8444" width="4.7109375" customWidth="1"/>
    <col min="8448" max="8448" width="9" customWidth="1"/>
    <col min="8449" max="8449" width="0" hidden="1" customWidth="1"/>
    <col min="8697" max="8697" width="1.85546875" customWidth="1"/>
    <col min="8698" max="8698" width="10.5703125" customWidth="1"/>
    <col min="8699" max="8699" width="108.42578125" customWidth="1"/>
    <col min="8700" max="8700" width="4.7109375" customWidth="1"/>
    <col min="8704" max="8704" width="9" customWidth="1"/>
    <col min="8705" max="8705" width="0" hidden="1" customWidth="1"/>
    <col min="8953" max="8953" width="1.85546875" customWidth="1"/>
    <col min="8954" max="8954" width="10.5703125" customWidth="1"/>
    <col min="8955" max="8955" width="108.42578125" customWidth="1"/>
    <col min="8956" max="8956" width="4.7109375" customWidth="1"/>
    <col min="8960" max="8960" width="9" customWidth="1"/>
    <col min="8961" max="8961" width="0" hidden="1" customWidth="1"/>
    <col min="9209" max="9209" width="1.85546875" customWidth="1"/>
    <col min="9210" max="9210" width="10.5703125" customWidth="1"/>
    <col min="9211" max="9211" width="108.42578125" customWidth="1"/>
    <col min="9212" max="9212" width="4.7109375" customWidth="1"/>
    <col min="9216" max="9216" width="9" customWidth="1"/>
    <col min="9217" max="9217" width="0" hidden="1" customWidth="1"/>
    <col min="9465" max="9465" width="1.85546875" customWidth="1"/>
    <col min="9466" max="9466" width="10.5703125" customWidth="1"/>
    <col min="9467" max="9467" width="108.42578125" customWidth="1"/>
    <col min="9468" max="9468" width="4.7109375" customWidth="1"/>
    <col min="9472" max="9472" width="9" customWidth="1"/>
    <col min="9473" max="9473" width="0" hidden="1" customWidth="1"/>
    <col min="9721" max="9721" width="1.85546875" customWidth="1"/>
    <col min="9722" max="9722" width="10.5703125" customWidth="1"/>
    <col min="9723" max="9723" width="108.42578125" customWidth="1"/>
    <col min="9724" max="9724" width="4.7109375" customWidth="1"/>
    <col min="9728" max="9728" width="9" customWidth="1"/>
    <col min="9729" max="9729" width="0" hidden="1" customWidth="1"/>
    <col min="9977" max="9977" width="1.85546875" customWidth="1"/>
    <col min="9978" max="9978" width="10.5703125" customWidth="1"/>
    <col min="9979" max="9979" width="108.42578125" customWidth="1"/>
    <col min="9980" max="9980" width="4.7109375" customWidth="1"/>
    <col min="9984" max="9984" width="9" customWidth="1"/>
    <col min="9985" max="9985" width="0" hidden="1" customWidth="1"/>
    <col min="10233" max="10233" width="1.85546875" customWidth="1"/>
    <col min="10234" max="10234" width="10.5703125" customWidth="1"/>
    <col min="10235" max="10235" width="108.42578125" customWidth="1"/>
    <col min="10236" max="10236" width="4.7109375" customWidth="1"/>
    <col min="10240" max="10240" width="9" customWidth="1"/>
    <col min="10241" max="10241" width="0" hidden="1" customWidth="1"/>
    <col min="10489" max="10489" width="1.85546875" customWidth="1"/>
    <col min="10490" max="10490" width="10.5703125" customWidth="1"/>
    <col min="10491" max="10491" width="108.42578125" customWidth="1"/>
    <col min="10492" max="10492" width="4.7109375" customWidth="1"/>
    <col min="10496" max="10496" width="9" customWidth="1"/>
    <col min="10497" max="10497" width="0" hidden="1" customWidth="1"/>
    <col min="10745" max="10745" width="1.85546875" customWidth="1"/>
    <col min="10746" max="10746" width="10.5703125" customWidth="1"/>
    <col min="10747" max="10747" width="108.42578125" customWidth="1"/>
    <col min="10748" max="10748" width="4.7109375" customWidth="1"/>
    <col min="10752" max="10752" width="9" customWidth="1"/>
    <col min="10753" max="10753" width="0" hidden="1" customWidth="1"/>
    <col min="11001" max="11001" width="1.85546875" customWidth="1"/>
    <col min="11002" max="11002" width="10.5703125" customWidth="1"/>
    <col min="11003" max="11003" width="108.42578125" customWidth="1"/>
    <col min="11004" max="11004" width="4.7109375" customWidth="1"/>
    <col min="11008" max="11008" width="9" customWidth="1"/>
    <col min="11009" max="11009" width="0" hidden="1" customWidth="1"/>
    <col min="11257" max="11257" width="1.85546875" customWidth="1"/>
    <col min="11258" max="11258" width="10.5703125" customWidth="1"/>
    <col min="11259" max="11259" width="108.42578125" customWidth="1"/>
    <col min="11260" max="11260" width="4.7109375" customWidth="1"/>
    <col min="11264" max="11264" width="9" customWidth="1"/>
    <col min="11265" max="11265" width="0" hidden="1" customWidth="1"/>
    <col min="11513" max="11513" width="1.85546875" customWidth="1"/>
    <col min="11514" max="11514" width="10.5703125" customWidth="1"/>
    <col min="11515" max="11515" width="108.42578125" customWidth="1"/>
    <col min="11516" max="11516" width="4.7109375" customWidth="1"/>
    <col min="11520" max="11520" width="9" customWidth="1"/>
    <col min="11521" max="11521" width="0" hidden="1" customWidth="1"/>
    <col min="11769" max="11769" width="1.85546875" customWidth="1"/>
    <col min="11770" max="11770" width="10.5703125" customWidth="1"/>
    <col min="11771" max="11771" width="108.42578125" customWidth="1"/>
    <col min="11772" max="11772" width="4.7109375" customWidth="1"/>
    <col min="11776" max="11776" width="9" customWidth="1"/>
    <col min="11777" max="11777" width="0" hidden="1" customWidth="1"/>
    <col min="12025" max="12025" width="1.85546875" customWidth="1"/>
    <col min="12026" max="12026" width="10.5703125" customWidth="1"/>
    <col min="12027" max="12027" width="108.42578125" customWidth="1"/>
    <col min="12028" max="12028" width="4.7109375" customWidth="1"/>
    <col min="12032" max="12032" width="9" customWidth="1"/>
    <col min="12033" max="12033" width="0" hidden="1" customWidth="1"/>
    <col min="12281" max="12281" width="1.85546875" customWidth="1"/>
    <col min="12282" max="12282" width="10.5703125" customWidth="1"/>
    <col min="12283" max="12283" width="108.42578125" customWidth="1"/>
    <col min="12284" max="12284" width="4.7109375" customWidth="1"/>
    <col min="12288" max="12288" width="9" customWidth="1"/>
    <col min="12289" max="12289" width="0" hidden="1" customWidth="1"/>
    <col min="12537" max="12537" width="1.85546875" customWidth="1"/>
    <col min="12538" max="12538" width="10.5703125" customWidth="1"/>
    <col min="12539" max="12539" width="108.42578125" customWidth="1"/>
    <col min="12540" max="12540" width="4.7109375" customWidth="1"/>
    <col min="12544" max="12544" width="9" customWidth="1"/>
    <col min="12545" max="12545" width="0" hidden="1" customWidth="1"/>
    <col min="12793" max="12793" width="1.85546875" customWidth="1"/>
    <col min="12794" max="12794" width="10.5703125" customWidth="1"/>
    <col min="12795" max="12795" width="108.42578125" customWidth="1"/>
    <col min="12796" max="12796" width="4.7109375" customWidth="1"/>
    <col min="12800" max="12800" width="9" customWidth="1"/>
    <col min="12801" max="12801" width="0" hidden="1" customWidth="1"/>
    <col min="13049" max="13049" width="1.85546875" customWidth="1"/>
    <col min="13050" max="13050" width="10.5703125" customWidth="1"/>
    <col min="13051" max="13051" width="108.42578125" customWidth="1"/>
    <col min="13052" max="13052" width="4.7109375" customWidth="1"/>
    <col min="13056" max="13056" width="9" customWidth="1"/>
    <col min="13057" max="13057" width="0" hidden="1" customWidth="1"/>
    <col min="13305" max="13305" width="1.85546875" customWidth="1"/>
    <col min="13306" max="13306" width="10.5703125" customWidth="1"/>
    <col min="13307" max="13307" width="108.42578125" customWidth="1"/>
    <col min="13308" max="13308" width="4.7109375" customWidth="1"/>
    <col min="13312" max="13312" width="9" customWidth="1"/>
    <col min="13313" max="13313" width="0" hidden="1" customWidth="1"/>
    <col min="13561" max="13561" width="1.85546875" customWidth="1"/>
    <col min="13562" max="13562" width="10.5703125" customWidth="1"/>
    <col min="13563" max="13563" width="108.42578125" customWidth="1"/>
    <col min="13564" max="13564" width="4.7109375" customWidth="1"/>
    <col min="13568" max="13568" width="9" customWidth="1"/>
    <col min="13569" max="13569" width="0" hidden="1" customWidth="1"/>
    <col min="13817" max="13817" width="1.85546875" customWidth="1"/>
    <col min="13818" max="13818" width="10.5703125" customWidth="1"/>
    <col min="13819" max="13819" width="108.42578125" customWidth="1"/>
    <col min="13820" max="13820" width="4.7109375" customWidth="1"/>
    <col min="13824" max="13824" width="9" customWidth="1"/>
    <col min="13825" max="13825" width="0" hidden="1" customWidth="1"/>
    <col min="14073" max="14073" width="1.85546875" customWidth="1"/>
    <col min="14074" max="14074" width="10.5703125" customWidth="1"/>
    <col min="14075" max="14075" width="108.42578125" customWidth="1"/>
    <col min="14076" max="14076" width="4.7109375" customWidth="1"/>
    <col min="14080" max="14080" width="9" customWidth="1"/>
    <col min="14081" max="14081" width="0" hidden="1" customWidth="1"/>
    <col min="14329" max="14329" width="1.85546875" customWidth="1"/>
    <col min="14330" max="14330" width="10.5703125" customWidth="1"/>
    <col min="14331" max="14331" width="108.42578125" customWidth="1"/>
    <col min="14332" max="14332" width="4.7109375" customWidth="1"/>
    <col min="14336" max="14336" width="9" customWidth="1"/>
    <col min="14337" max="14337" width="0" hidden="1" customWidth="1"/>
    <col min="14585" max="14585" width="1.85546875" customWidth="1"/>
    <col min="14586" max="14586" width="10.5703125" customWidth="1"/>
    <col min="14587" max="14587" width="108.42578125" customWidth="1"/>
    <col min="14588" max="14588" width="4.7109375" customWidth="1"/>
    <col min="14592" max="14592" width="9" customWidth="1"/>
    <col min="14593" max="14593" width="0" hidden="1" customWidth="1"/>
    <col min="14841" max="14841" width="1.85546875" customWidth="1"/>
    <col min="14842" max="14842" width="10.5703125" customWidth="1"/>
    <col min="14843" max="14843" width="108.42578125" customWidth="1"/>
    <col min="14844" max="14844" width="4.7109375" customWidth="1"/>
    <col min="14848" max="14848" width="9" customWidth="1"/>
    <col min="14849" max="14849" width="0" hidden="1" customWidth="1"/>
    <col min="15097" max="15097" width="1.85546875" customWidth="1"/>
    <col min="15098" max="15098" width="10.5703125" customWidth="1"/>
    <col min="15099" max="15099" width="108.42578125" customWidth="1"/>
    <col min="15100" max="15100" width="4.7109375" customWidth="1"/>
    <col min="15104" max="15104" width="9" customWidth="1"/>
    <col min="15105" max="15105" width="0" hidden="1" customWidth="1"/>
    <col min="15353" max="15353" width="1.85546875" customWidth="1"/>
    <col min="15354" max="15354" width="10.5703125" customWidth="1"/>
    <col min="15355" max="15355" width="108.42578125" customWidth="1"/>
    <col min="15356" max="15356" width="4.7109375" customWidth="1"/>
    <col min="15360" max="15360" width="9" customWidth="1"/>
    <col min="15361" max="15361" width="0" hidden="1" customWidth="1"/>
    <col min="15609" max="15609" width="1.85546875" customWidth="1"/>
    <col min="15610" max="15610" width="10.5703125" customWidth="1"/>
    <col min="15611" max="15611" width="108.42578125" customWidth="1"/>
    <col min="15612" max="15612" width="4.7109375" customWidth="1"/>
    <col min="15616" max="15616" width="9" customWidth="1"/>
    <col min="15617" max="15617" width="0" hidden="1" customWidth="1"/>
    <col min="15865" max="15865" width="1.85546875" customWidth="1"/>
    <col min="15866" max="15866" width="10.5703125" customWidth="1"/>
    <col min="15867" max="15867" width="108.42578125" customWidth="1"/>
    <col min="15868" max="15868" width="4.7109375" customWidth="1"/>
    <col min="15872" max="15872" width="9" customWidth="1"/>
    <col min="15873" max="15873" width="0" hidden="1" customWidth="1"/>
    <col min="16121" max="16121" width="1.85546875" customWidth="1"/>
    <col min="16122" max="16122" width="10.5703125" customWidth="1"/>
    <col min="16123" max="16123" width="108.42578125" customWidth="1"/>
    <col min="16124" max="16124" width="4.7109375" customWidth="1"/>
    <col min="16128" max="16128" width="9" customWidth="1"/>
    <col min="16129" max="16129" width="0" hidden="1" customWidth="1"/>
  </cols>
  <sheetData>
    <row r="1" spans="1:3" s="31" customFormat="1" ht="6" customHeight="1" thickBot="1">
      <c r="A1" s="28"/>
      <c r="B1" s="29"/>
      <c r="C1" s="30"/>
    </row>
    <row r="2" spans="1:3" s="31" customFormat="1" ht="20.25" customHeight="1" thickBot="1">
      <c r="A2" s="28"/>
      <c r="B2" s="67" t="s">
        <v>0</v>
      </c>
      <c r="C2" s="97"/>
    </row>
    <row r="3" spans="1:3" s="31" customFormat="1" ht="5.25" customHeight="1">
      <c r="A3" s="28"/>
      <c r="B3" s="60"/>
      <c r="C3" s="58"/>
    </row>
    <row r="4" spans="1:3" s="31" customFormat="1" ht="17.25" customHeight="1">
      <c r="A4" s="28"/>
      <c r="B4" s="62" t="s">
        <v>1</v>
      </c>
      <c r="C4" s="57" t="s">
        <v>2</v>
      </c>
    </row>
    <row r="5" spans="1:3" s="31" customFormat="1" ht="15" customHeight="1">
      <c r="A5" s="28"/>
      <c r="B5" s="61"/>
      <c r="C5" s="59"/>
    </row>
    <row r="6" spans="1:3" s="31" customFormat="1" ht="82.15" customHeight="1">
      <c r="A6" s="28"/>
      <c r="B6" s="36">
        <v>1</v>
      </c>
      <c r="C6" s="32" t="s">
        <v>3</v>
      </c>
    </row>
    <row r="7" spans="1:3" s="31" customFormat="1" ht="36" customHeight="1">
      <c r="A7" s="28"/>
      <c r="B7" s="36">
        <v>2</v>
      </c>
      <c r="C7" s="53" t="s">
        <v>4</v>
      </c>
    </row>
    <row r="8" spans="1:3" s="31" customFormat="1" ht="63" customHeight="1">
      <c r="A8" s="28"/>
      <c r="B8" s="33">
        <v>3</v>
      </c>
      <c r="C8" s="53" t="s">
        <v>5</v>
      </c>
    </row>
    <row r="9" spans="1:3" s="31" customFormat="1" ht="66.75" customHeight="1">
      <c r="A9" s="28"/>
      <c r="B9" s="33">
        <v>4</v>
      </c>
      <c r="C9" s="53" t="s">
        <v>6</v>
      </c>
    </row>
    <row r="10" spans="1:3" s="31" customFormat="1" ht="50.25" customHeight="1">
      <c r="A10" s="28"/>
      <c r="B10" s="33">
        <v>5</v>
      </c>
      <c r="C10" s="53" t="s">
        <v>7</v>
      </c>
    </row>
    <row r="11" spans="1:3" s="31" customFormat="1" ht="31.5" customHeight="1">
      <c r="A11" s="28"/>
      <c r="B11" s="66">
        <v>6</v>
      </c>
      <c r="C11" s="53" t="s">
        <v>8</v>
      </c>
    </row>
    <row r="12" spans="1:3" s="31" customFormat="1" ht="24.75" customHeight="1">
      <c r="A12" s="28"/>
      <c r="B12" s="66"/>
      <c r="C12" s="37" t="s">
        <v>9</v>
      </c>
    </row>
    <row r="13" spans="1:3" s="31" customFormat="1" ht="24.75" customHeight="1">
      <c r="A13" s="28"/>
      <c r="B13" s="66"/>
      <c r="C13" s="34" t="s">
        <v>10</v>
      </c>
    </row>
    <row r="14" spans="1:3" s="31" customFormat="1" ht="121.9" customHeight="1">
      <c r="A14" s="28"/>
      <c r="B14" s="33">
        <v>7</v>
      </c>
      <c r="C14" s="53" t="s">
        <v>11</v>
      </c>
    </row>
    <row r="15" spans="1:3" s="31" customFormat="1">
      <c r="A15" s="28"/>
      <c r="B15" s="54"/>
      <c r="C15" s="55"/>
    </row>
    <row r="16" spans="1:3" s="31" customFormat="1" ht="20.25" customHeight="1">
      <c r="A16" s="28"/>
      <c r="B16" s="56"/>
      <c r="C16" s="57" t="s">
        <v>12</v>
      </c>
    </row>
    <row r="17" spans="1:3" s="31" customFormat="1" ht="78.95" customHeight="1">
      <c r="A17" s="28"/>
      <c r="B17" s="33">
        <v>8</v>
      </c>
      <c r="C17" s="53" t="s">
        <v>13</v>
      </c>
    </row>
    <row r="18" spans="1:3" s="31" customFormat="1" ht="33" customHeight="1">
      <c r="A18" s="28"/>
      <c r="B18" s="33">
        <v>9</v>
      </c>
      <c r="C18" s="63" t="s">
        <v>14</v>
      </c>
    </row>
    <row r="19" spans="1:3" s="31" customFormat="1" ht="49.35" customHeight="1">
      <c r="A19" s="28"/>
      <c r="B19" s="33">
        <v>10</v>
      </c>
      <c r="C19" s="53" t="s">
        <v>15</v>
      </c>
    </row>
    <row r="20" spans="1:3" s="31" customFormat="1" ht="49.35" customHeight="1">
      <c r="A20" s="28"/>
      <c r="B20" s="33">
        <v>11</v>
      </c>
      <c r="C20" s="63" t="s">
        <v>16</v>
      </c>
    </row>
    <row r="21" spans="1:3" s="31" customFormat="1" ht="49.35" customHeight="1">
      <c r="A21" s="28"/>
      <c r="B21" s="33">
        <v>12</v>
      </c>
      <c r="C21" s="63" t="s">
        <v>17</v>
      </c>
    </row>
    <row r="22" spans="1:3" s="31" customFormat="1" ht="49.35" customHeight="1">
      <c r="A22" s="28"/>
      <c r="B22" s="33">
        <v>13</v>
      </c>
      <c r="C22" s="63" t="s">
        <v>18</v>
      </c>
    </row>
    <row r="23" spans="1:3" s="31" customFormat="1" ht="37.35" customHeight="1">
      <c r="A23" s="28"/>
      <c r="B23" s="33">
        <v>14</v>
      </c>
      <c r="C23" s="63" t="s">
        <v>19</v>
      </c>
    </row>
    <row r="24" spans="1:3" s="31" customFormat="1" ht="49.5" customHeight="1">
      <c r="A24" s="28"/>
      <c r="B24" s="33">
        <v>15</v>
      </c>
      <c r="C24" s="63" t="s">
        <v>20</v>
      </c>
    </row>
    <row r="25" spans="1:3" s="31" customFormat="1" ht="38.65" customHeight="1">
      <c r="A25" s="28"/>
      <c r="B25" s="33">
        <v>16</v>
      </c>
      <c r="C25" s="63" t="s">
        <v>21</v>
      </c>
    </row>
    <row r="26" spans="1:3" s="31" customFormat="1"/>
    <row r="27" spans="1:3" s="31" customFormat="1"/>
    <row r="28" spans="1:3" s="31" customFormat="1"/>
    <row r="29" spans="1:3" s="31" customFormat="1"/>
    <row r="30" spans="1:3" s="31" customFormat="1"/>
    <row r="31" spans="1:3" s="31" customFormat="1"/>
    <row r="32" spans="1:3" s="31" customFormat="1"/>
    <row r="33" s="31"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pans="1:3" s="31" customFormat="1"/>
    <row r="162" spans="1:3" s="31" customFormat="1"/>
    <row r="163" spans="1:3">
      <c r="A163" s="31"/>
      <c r="B163" s="31"/>
      <c r="C163" s="31"/>
    </row>
    <row r="164" spans="1:3">
      <c r="A164" s="31"/>
      <c r="B164" s="31"/>
      <c r="C164" s="31"/>
    </row>
  </sheetData>
  <sheetProtection algorithmName="SHA-512" hashValue="YDcG8MyeV79ZU8CCmiGyzlQurp4njCE8e0XKzgTRlwjie1oGahqHTZr/0xzeRhMpCWQ1NVVz0CQ6gKEtlh9qTg==" saltValue="Mfmv2ujK8sZMKGMQMCvvBg==" spinCount="100000" sheet="1" objects="1" scenarios="1"/>
  <mergeCells count="2">
    <mergeCell ref="B11:B13"/>
    <mergeCell ref="B2:C2"/>
  </mergeCells>
  <pageMargins left="0.7" right="0.7" top="0.75" bottom="0.75" header="0.3" footer="0.3"/>
  <pageSetup paperSize="8"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24"/>
  <sheetViews>
    <sheetView zoomScaleNormal="100" workbookViewId="0">
      <selection activeCell="F15" sqref="F15"/>
    </sheetView>
  </sheetViews>
  <sheetFormatPr defaultRowHeight="15"/>
  <cols>
    <col min="1" max="1" width="4" customWidth="1"/>
    <col min="2" max="2" width="30" customWidth="1"/>
    <col min="3" max="7" width="11" customWidth="1"/>
    <col min="8" max="8" width="6.28515625" customWidth="1"/>
    <col min="9" max="9" width="39.42578125" customWidth="1"/>
    <col min="10" max="12" width="10.85546875" customWidth="1"/>
    <col min="13" max="13" width="10.140625" customWidth="1"/>
    <col min="15" max="16" width="0" hidden="1" customWidth="1"/>
  </cols>
  <sheetData>
    <row r="2" spans="2:16" s="17" customFormat="1" ht="26.25" customHeight="1">
      <c r="B2" s="16" t="s">
        <v>0</v>
      </c>
    </row>
    <row r="3" spans="2:16" ht="18" customHeight="1"/>
    <row r="4" spans="2:16" ht="27.75" customHeight="1">
      <c r="B4" s="74" t="s">
        <v>22</v>
      </c>
      <c r="C4" s="75"/>
      <c r="D4" s="76"/>
      <c r="E4" s="40">
        <v>41355</v>
      </c>
      <c r="F4" s="6"/>
      <c r="G4" s="40">
        <v>41361</v>
      </c>
      <c r="I4" s="24" t="s">
        <v>23</v>
      </c>
      <c r="O4" s="7" t="s">
        <v>24</v>
      </c>
      <c r="P4" s="7" t="s">
        <v>25</v>
      </c>
    </row>
    <row r="5" spans="2:16" ht="18" customHeight="1">
      <c r="B5" s="2" t="s">
        <v>26</v>
      </c>
      <c r="C5" s="38">
        <v>54260</v>
      </c>
      <c r="D5" s="77" t="s">
        <v>27</v>
      </c>
      <c r="E5" s="77" t="s">
        <v>28</v>
      </c>
      <c r="F5" s="78" t="s">
        <v>29</v>
      </c>
      <c r="G5" s="78" t="s">
        <v>30</v>
      </c>
      <c r="O5" s="79"/>
      <c r="P5" s="82"/>
    </row>
    <row r="6" spans="2:16" ht="18" customHeight="1">
      <c r="B6" s="2" t="s">
        <v>31</v>
      </c>
      <c r="C6" s="39">
        <v>1132</v>
      </c>
      <c r="D6" s="77"/>
      <c r="E6" s="77"/>
      <c r="F6" s="78"/>
      <c r="G6" s="78"/>
      <c r="O6" s="80"/>
      <c r="P6" s="83"/>
    </row>
    <row r="7" spans="2:16" ht="18" customHeight="1">
      <c r="B7" s="2" t="s">
        <v>32</v>
      </c>
      <c r="C7" s="39">
        <v>39</v>
      </c>
      <c r="D7" s="77"/>
      <c r="E7" s="77"/>
      <c r="F7" s="78"/>
      <c r="G7" s="78"/>
      <c r="O7" s="81"/>
      <c r="P7" s="84"/>
    </row>
    <row r="8" spans="2:16" ht="26.25" customHeight="1">
      <c r="B8" s="68" t="s">
        <v>33</v>
      </c>
      <c r="C8" s="69"/>
      <c r="D8" s="39">
        <v>262.5</v>
      </c>
      <c r="E8" s="25">
        <f>D8/1000*60*60</f>
        <v>945</v>
      </c>
      <c r="F8" s="26">
        <f>D8*60*60/C$5</f>
        <v>17.416144489495025</v>
      </c>
      <c r="G8" s="42">
        <v>0.1</v>
      </c>
      <c r="I8" s="38" t="s">
        <v>34</v>
      </c>
      <c r="O8" s="19">
        <f>D8*G8/1.96</f>
        <v>13.392857142857142</v>
      </c>
      <c r="P8" s="21">
        <f>O8*O8</f>
        <v>179.36862244897958</v>
      </c>
    </row>
    <row r="9" spans="2:16" ht="26.25" customHeight="1">
      <c r="B9" s="68" t="s">
        <v>35</v>
      </c>
      <c r="C9" s="69"/>
      <c r="D9" s="25">
        <f>E9*1000/60/60</f>
        <v>30.144444444444446</v>
      </c>
      <c r="E9" s="25">
        <f>F9*C$5/1000</f>
        <v>108.52</v>
      </c>
      <c r="F9" s="41">
        <v>2</v>
      </c>
      <c r="G9" s="42">
        <v>0.4</v>
      </c>
      <c r="I9" s="26" t="s">
        <v>36</v>
      </c>
      <c r="O9" s="19">
        <f>G9*D9/1.96</f>
        <v>6.1519274376417243</v>
      </c>
      <c r="P9" s="21">
        <f t="shared" ref="P9:P11" si="0">O9*O9</f>
        <v>37.846211198009073</v>
      </c>
    </row>
    <row r="10" spans="2:16" ht="26.25" customHeight="1">
      <c r="B10" s="68" t="s">
        <v>37</v>
      </c>
      <c r="C10" s="69"/>
      <c r="D10" s="25">
        <f>E10*1000/60/60</f>
        <v>22.608333333333334</v>
      </c>
      <c r="E10" s="25">
        <f>F10*C$5/1000</f>
        <v>81.39</v>
      </c>
      <c r="F10" s="41">
        <v>1.5</v>
      </c>
      <c r="G10" s="42">
        <v>0.2</v>
      </c>
      <c r="O10" s="19">
        <f>G10*D10/1.96</f>
        <v>2.3069727891156466</v>
      </c>
      <c r="P10" s="21">
        <f t="shared" ref="P10" si="1">O10*O10</f>
        <v>5.322123449720026</v>
      </c>
    </row>
    <row r="11" spans="2:16" ht="26.25" customHeight="1">
      <c r="B11" s="68" t="s">
        <v>38</v>
      </c>
      <c r="C11" s="69"/>
      <c r="D11" s="39">
        <v>100</v>
      </c>
      <c r="E11" s="25">
        <f t="shared" ref="E11" si="2">D11/1000*60*60</f>
        <v>360</v>
      </c>
      <c r="F11" s="26">
        <f t="shared" ref="F11" si="3">D11*60*60/C$5</f>
        <v>6.6347217102838183</v>
      </c>
      <c r="G11" s="42">
        <v>0.5</v>
      </c>
      <c r="O11" s="19">
        <f>G11*D11/1.96</f>
        <v>25.510204081632654</v>
      </c>
      <c r="P11" s="21">
        <f t="shared" si="0"/>
        <v>650.77051228654739</v>
      </c>
    </row>
    <row r="12" spans="2:16" ht="31.9" customHeight="1">
      <c r="B12" s="72" t="s">
        <v>39</v>
      </c>
      <c r="C12" s="73"/>
      <c r="D12" s="25">
        <f>D8-D9-D10-D11</f>
        <v>109.74722222222221</v>
      </c>
      <c r="E12" s="25">
        <f>D12/1000*60*60</f>
        <v>395.08999999999992</v>
      </c>
      <c r="F12" s="26">
        <f>D12*60*60/C$5</f>
        <v>7.2814227792112041</v>
      </c>
      <c r="G12" s="27">
        <f>1.96*O12/D12</f>
        <v>0.52777172798257777</v>
      </c>
      <c r="L12" s="13"/>
      <c r="O12" s="20">
        <f>SQRT(P12)</f>
        <v>29.55177607832152</v>
      </c>
      <c r="P12" s="22">
        <f>SUM(P8:P11)</f>
        <v>873.30746938325615</v>
      </c>
    </row>
    <row r="13" spans="2:16" ht="27.95" customHeight="1">
      <c r="B13" s="65" t="s">
        <v>40</v>
      </c>
      <c r="C13" s="5"/>
      <c r="D13" s="5"/>
      <c r="E13" s="5"/>
      <c r="F13" s="5"/>
      <c r="G13" s="5"/>
    </row>
    <row r="14" spans="2:16" ht="39" customHeight="1">
      <c r="B14" s="64"/>
      <c r="C14" s="64"/>
      <c r="D14" s="64"/>
      <c r="E14" s="64"/>
      <c r="F14" s="64"/>
      <c r="G14" s="64"/>
      <c r="I14" s="12" t="s">
        <v>41</v>
      </c>
      <c r="J14" s="6" t="s">
        <v>42</v>
      </c>
      <c r="K14" s="6" t="s">
        <v>43</v>
      </c>
      <c r="L14" s="6" t="s">
        <v>44</v>
      </c>
      <c r="M14" s="7" t="s">
        <v>30</v>
      </c>
      <c r="O14" s="7" t="s">
        <v>30</v>
      </c>
      <c r="P14" s="7" t="s">
        <v>45</v>
      </c>
    </row>
    <row r="15" spans="2:16" ht="26.25" customHeight="1">
      <c r="B15" s="64"/>
      <c r="C15" s="64"/>
      <c r="D15" s="64"/>
      <c r="E15" s="64"/>
      <c r="F15" s="64"/>
      <c r="G15" s="64"/>
      <c r="I15" s="15" t="s">
        <v>46</v>
      </c>
      <c r="J15" s="11">
        <f>E12</f>
        <v>395.08999999999992</v>
      </c>
      <c r="K15" s="8"/>
      <c r="L15" s="9"/>
      <c r="M15" s="4">
        <f>G12</f>
        <v>0.52777172798257777</v>
      </c>
      <c r="O15" s="14">
        <f>M15</f>
        <v>0.52777172798257777</v>
      </c>
      <c r="P15" s="19">
        <f>O15*O15</f>
        <v>0.27854299685771605</v>
      </c>
    </row>
    <row r="16" spans="2:16" ht="26.25" customHeight="1">
      <c r="I16" s="15" t="s">
        <v>47</v>
      </c>
      <c r="J16" s="3"/>
      <c r="K16" s="43">
        <v>22.8</v>
      </c>
      <c r="L16" s="9"/>
      <c r="M16" s="44">
        <v>0.1</v>
      </c>
      <c r="O16" s="14">
        <f>M16</f>
        <v>0.1</v>
      </c>
      <c r="P16" s="19">
        <f t="shared" ref="P16" si="4">O16*O16</f>
        <v>1.0000000000000002E-2</v>
      </c>
    </row>
    <row r="17" spans="9:16" ht="26.25" customHeight="1">
      <c r="I17" s="15" t="s">
        <v>48</v>
      </c>
      <c r="J17" s="70"/>
      <c r="K17" s="71"/>
      <c r="L17" s="10">
        <f>J15*K16</f>
        <v>9008.0519999999979</v>
      </c>
      <c r="M17" s="4">
        <f>O17</f>
        <v>0.53716198381653557</v>
      </c>
      <c r="O17" s="18">
        <f>SQRT(P17)</f>
        <v>0.53716198381653557</v>
      </c>
      <c r="P17" s="20">
        <f>SUM(P15:P16)</f>
        <v>0.28854299685771606</v>
      </c>
    </row>
    <row r="19" spans="9:16" ht="29.65" customHeight="1">
      <c r="I19" s="89" t="s">
        <v>49</v>
      </c>
      <c r="J19" s="90"/>
      <c r="K19" s="90"/>
      <c r="L19" s="90"/>
      <c r="M19" s="91"/>
    </row>
    <row r="20" spans="9:16" ht="26.25" customHeight="1">
      <c r="I20" s="92" t="s">
        <v>50</v>
      </c>
      <c r="J20" s="10">
        <f>L17</f>
        <v>9008.0519999999979</v>
      </c>
      <c r="K20" s="85" t="s">
        <v>44</v>
      </c>
      <c r="L20" s="86"/>
      <c r="M20" s="87"/>
    </row>
    <row r="21" spans="9:16" ht="26.25" customHeight="1">
      <c r="I21" s="93"/>
      <c r="J21" s="10">
        <f>J20*1000/C5</f>
        <v>166.01643936601545</v>
      </c>
      <c r="K21" s="94" t="s">
        <v>51</v>
      </c>
      <c r="L21" s="95"/>
      <c r="M21" s="4">
        <f>M17</f>
        <v>0.53716198381653557</v>
      </c>
    </row>
    <row r="22" spans="9:16" ht="26.25" customHeight="1">
      <c r="I22" s="15" t="s">
        <v>52</v>
      </c>
      <c r="J22" s="11">
        <f>J15</f>
        <v>395.08999999999992</v>
      </c>
      <c r="K22" s="85" t="s">
        <v>53</v>
      </c>
      <c r="L22" s="86"/>
      <c r="M22" s="87"/>
    </row>
    <row r="23" spans="9:16" ht="26.25" customHeight="1">
      <c r="I23" s="15" t="s">
        <v>54</v>
      </c>
      <c r="J23" s="11">
        <f>(18*C6+0.8*C5)*C7/1000/24</f>
        <v>103.649</v>
      </c>
      <c r="K23" s="85" t="s">
        <v>53</v>
      </c>
      <c r="L23" s="86"/>
      <c r="M23" s="87"/>
    </row>
    <row r="24" spans="9:16" ht="26.25" customHeight="1">
      <c r="I24" s="15" t="s">
        <v>55</v>
      </c>
      <c r="J24" s="11">
        <f>J22/J23</f>
        <v>3.8118071568466645</v>
      </c>
      <c r="K24" s="70"/>
      <c r="L24" s="88"/>
      <c r="M24" s="71"/>
    </row>
  </sheetData>
  <sheetProtection algorithmName="SHA-512" hashValue="jc7cdhXq70z01No3wMXLxCW/vt0+BMvl0s8lvH8PE9B9pewDPrU1cTnPa486U9jbgx8ud7JF8wsGsXkJaBd/7Q==" saltValue="5TasNkcDMF9aXCGLEG7v4A==" spinCount="100000" sheet="1" objects="1" scenarios="1"/>
  <mergeCells count="20">
    <mergeCell ref="O5:O7"/>
    <mergeCell ref="P5:P7"/>
    <mergeCell ref="K22:M22"/>
    <mergeCell ref="K24:M24"/>
    <mergeCell ref="K23:M23"/>
    <mergeCell ref="I19:M19"/>
    <mergeCell ref="I20:I21"/>
    <mergeCell ref="K20:M20"/>
    <mergeCell ref="K21:L21"/>
    <mergeCell ref="B8:C8"/>
    <mergeCell ref="J17:K17"/>
    <mergeCell ref="B12:C12"/>
    <mergeCell ref="B9:C9"/>
    <mergeCell ref="B4:D4"/>
    <mergeCell ref="D5:D7"/>
    <mergeCell ref="E5:E7"/>
    <mergeCell ref="F5:F7"/>
    <mergeCell ref="G5:G7"/>
    <mergeCell ref="B11:C11"/>
    <mergeCell ref="B10:C10"/>
  </mergeCells>
  <pageMargins left="0.7" right="0.7" top="0.75" bottom="0.75" header="0.3" footer="0.3"/>
  <pageSetup paperSize="8" scale="94" orientation="landscape" r:id="rId1"/>
  <headerFooter>
    <oddFooter>&amp;L&amp;F&amp;R&amp;D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5F9E8-9BBE-42AF-8258-BFAB028DE926}">
  <sheetPr>
    <pageSetUpPr fitToPage="1"/>
  </sheetPr>
  <dimension ref="B2:P24"/>
  <sheetViews>
    <sheetView workbookViewId="0">
      <selection activeCell="F14" sqref="F14"/>
    </sheetView>
  </sheetViews>
  <sheetFormatPr defaultRowHeight="15"/>
  <cols>
    <col min="1" max="1" width="4" customWidth="1"/>
    <col min="2" max="2" width="30" customWidth="1"/>
    <col min="3" max="7" width="11" customWidth="1"/>
    <col min="8" max="8" width="6.28515625" customWidth="1"/>
    <col min="9" max="9" width="39.42578125" customWidth="1"/>
    <col min="10" max="12" width="10.85546875" customWidth="1"/>
    <col min="13" max="13" width="10.140625" customWidth="1"/>
    <col min="15" max="16" width="0" hidden="1" customWidth="1"/>
  </cols>
  <sheetData>
    <row r="2" spans="2:16" s="17" customFormat="1" ht="26.25" customHeight="1">
      <c r="B2" s="16" t="s">
        <v>0</v>
      </c>
    </row>
    <row r="3" spans="2:16" ht="18" customHeight="1"/>
    <row r="4" spans="2:16" ht="27.75" customHeight="1">
      <c r="B4" s="74" t="s">
        <v>22</v>
      </c>
      <c r="C4" s="75"/>
      <c r="D4" s="76"/>
      <c r="E4" s="47">
        <v>41355</v>
      </c>
      <c r="F4" s="6"/>
      <c r="G4" s="47">
        <v>41361</v>
      </c>
      <c r="I4" s="23" t="s">
        <v>23</v>
      </c>
      <c r="O4" s="7" t="s">
        <v>24</v>
      </c>
      <c r="P4" s="7" t="s">
        <v>25</v>
      </c>
    </row>
    <row r="5" spans="2:16" ht="18" customHeight="1">
      <c r="B5" s="2" t="s">
        <v>26</v>
      </c>
      <c r="C5" s="45">
        <v>54260</v>
      </c>
      <c r="D5" s="77" t="s">
        <v>27</v>
      </c>
      <c r="E5" s="77" t="s">
        <v>28</v>
      </c>
      <c r="F5" s="78" t="s">
        <v>29</v>
      </c>
      <c r="G5" s="78" t="s">
        <v>30</v>
      </c>
      <c r="O5" s="79"/>
      <c r="P5" s="82"/>
    </row>
    <row r="6" spans="2:16" ht="18" customHeight="1">
      <c r="B6" s="2" t="s">
        <v>31</v>
      </c>
      <c r="C6" s="46">
        <v>1132</v>
      </c>
      <c r="D6" s="77"/>
      <c r="E6" s="77"/>
      <c r="F6" s="78"/>
      <c r="G6" s="78"/>
      <c r="O6" s="80"/>
      <c r="P6" s="83"/>
    </row>
    <row r="7" spans="2:16" ht="18" customHeight="1">
      <c r="B7" s="2" t="s">
        <v>32</v>
      </c>
      <c r="C7" s="46">
        <v>39</v>
      </c>
      <c r="D7" s="77"/>
      <c r="E7" s="77"/>
      <c r="F7" s="78"/>
      <c r="G7" s="78"/>
      <c r="O7" s="81"/>
      <c r="P7" s="84"/>
    </row>
    <row r="8" spans="2:16" ht="26.25" customHeight="1">
      <c r="B8" s="68" t="s">
        <v>33</v>
      </c>
      <c r="C8" s="69"/>
      <c r="D8" s="46">
        <v>262.5</v>
      </c>
      <c r="E8" s="11">
        <f>D8/1000*60*60</f>
        <v>945</v>
      </c>
      <c r="F8" s="3">
        <f>D8*60*60/C$5</f>
        <v>17.416144489495025</v>
      </c>
      <c r="G8" s="49">
        <v>0.1</v>
      </c>
      <c r="I8" s="48" t="s">
        <v>34</v>
      </c>
      <c r="O8" s="19">
        <f>D8*G8/1.96</f>
        <v>13.392857142857142</v>
      </c>
      <c r="P8" s="21">
        <f>O8*O8</f>
        <v>179.36862244897958</v>
      </c>
    </row>
    <row r="9" spans="2:16" ht="26.25" customHeight="1">
      <c r="B9" s="68" t="s">
        <v>35</v>
      </c>
      <c r="C9" s="69"/>
      <c r="D9" s="11">
        <f>E9*1000/60/60</f>
        <v>30.144444444444446</v>
      </c>
      <c r="E9" s="11">
        <f>F9*C$5/1000</f>
        <v>108.52</v>
      </c>
      <c r="F9" s="50">
        <v>2</v>
      </c>
      <c r="G9" s="49">
        <v>0.4</v>
      </c>
      <c r="I9" s="3" t="s">
        <v>36</v>
      </c>
      <c r="O9" s="19">
        <f>G9*D9/1.96</f>
        <v>6.1519274376417243</v>
      </c>
      <c r="P9" s="21">
        <f t="shared" ref="P9:P11" si="0">O9*O9</f>
        <v>37.846211198009073</v>
      </c>
    </row>
    <row r="10" spans="2:16" ht="26.25" customHeight="1">
      <c r="B10" s="68" t="s">
        <v>56</v>
      </c>
      <c r="C10" s="69"/>
      <c r="D10" s="11">
        <f>E10*1000/60/60</f>
        <v>22.608333333333334</v>
      </c>
      <c r="E10" s="11">
        <f>F10*C$5/1000</f>
        <v>81.39</v>
      </c>
      <c r="F10" s="50">
        <v>1.5</v>
      </c>
      <c r="G10" s="49">
        <v>0.2</v>
      </c>
      <c r="O10" s="19">
        <f>G10*D10/1.96</f>
        <v>2.3069727891156466</v>
      </c>
      <c r="P10" s="21">
        <f t="shared" si="0"/>
        <v>5.322123449720026</v>
      </c>
    </row>
    <row r="11" spans="2:16" ht="26.25" customHeight="1">
      <c r="B11" s="68" t="s">
        <v>38</v>
      </c>
      <c r="C11" s="69"/>
      <c r="D11" s="46">
        <v>100</v>
      </c>
      <c r="E11" s="11">
        <f t="shared" ref="E11" si="1">D11/1000*60*60</f>
        <v>360</v>
      </c>
      <c r="F11" s="3">
        <f t="shared" ref="F11" si="2">D11*60*60/C$5</f>
        <v>6.6347217102838183</v>
      </c>
      <c r="G11" s="49">
        <v>0.5</v>
      </c>
      <c r="O11" s="19">
        <f>G11*D11/1.96</f>
        <v>25.510204081632654</v>
      </c>
      <c r="P11" s="21">
        <f t="shared" si="0"/>
        <v>650.77051228654739</v>
      </c>
    </row>
    <row r="12" spans="2:16" ht="31.9" customHeight="1">
      <c r="B12" s="72" t="s">
        <v>39</v>
      </c>
      <c r="C12" s="73"/>
      <c r="D12" s="11">
        <f>D8-D9-D10-D11</f>
        <v>109.74722222222221</v>
      </c>
      <c r="E12" s="11">
        <f>D12/1000*60*60</f>
        <v>395.08999999999992</v>
      </c>
      <c r="F12" s="3">
        <f>D12*60*60/C$5</f>
        <v>7.2814227792112041</v>
      </c>
      <c r="G12" s="4">
        <f>1.96*O12/D12</f>
        <v>0.52777172798257777</v>
      </c>
      <c r="L12" s="13"/>
      <c r="O12" s="20">
        <f>SQRT(P12)</f>
        <v>29.55177607832152</v>
      </c>
      <c r="P12" s="22">
        <f>SUM(P8:P11)</f>
        <v>873.30746938325615</v>
      </c>
    </row>
    <row r="13" spans="2:16" ht="27.95" customHeight="1">
      <c r="B13" s="65" t="s">
        <v>40</v>
      </c>
      <c r="C13" s="5"/>
      <c r="D13" s="5"/>
      <c r="E13" s="5"/>
      <c r="F13" s="5"/>
      <c r="G13" s="5"/>
    </row>
    <row r="14" spans="2:16" ht="39" customHeight="1">
      <c r="I14" s="12" t="s">
        <v>41</v>
      </c>
      <c r="J14" s="6" t="s">
        <v>42</v>
      </c>
      <c r="K14" s="6" t="s">
        <v>43</v>
      </c>
      <c r="L14" s="6" t="s">
        <v>44</v>
      </c>
      <c r="M14" s="7" t="s">
        <v>30</v>
      </c>
      <c r="O14" s="7" t="s">
        <v>30</v>
      </c>
      <c r="P14" s="7" t="s">
        <v>45</v>
      </c>
    </row>
    <row r="15" spans="2:16" ht="26.25" customHeight="1">
      <c r="I15" s="15" t="s">
        <v>46</v>
      </c>
      <c r="J15" s="11">
        <f>E12</f>
        <v>395.08999999999992</v>
      </c>
      <c r="K15" s="8"/>
      <c r="L15" s="9"/>
      <c r="M15" s="4">
        <f>G12</f>
        <v>0.52777172798257777</v>
      </c>
      <c r="O15" s="14">
        <f>M15</f>
        <v>0.52777172798257777</v>
      </c>
      <c r="P15" s="19">
        <f>O15*O15</f>
        <v>0.27854299685771605</v>
      </c>
    </row>
    <row r="16" spans="2:16" ht="26.25" customHeight="1">
      <c r="I16" s="15" t="s">
        <v>47</v>
      </c>
      <c r="J16" s="3"/>
      <c r="K16" s="46">
        <v>22.8</v>
      </c>
      <c r="L16" s="9"/>
      <c r="M16" s="49">
        <v>0.1</v>
      </c>
      <c r="O16" s="14">
        <f>M16</f>
        <v>0.1</v>
      </c>
      <c r="P16" s="19">
        <f t="shared" ref="P16" si="3">O16*O16</f>
        <v>1.0000000000000002E-2</v>
      </c>
    </row>
    <row r="17" spans="9:16" ht="26.25" customHeight="1">
      <c r="I17" s="15" t="s">
        <v>48</v>
      </c>
      <c r="J17" s="70"/>
      <c r="K17" s="71"/>
      <c r="L17" s="10">
        <f>J15*K16</f>
        <v>9008.0519999999979</v>
      </c>
      <c r="M17" s="4">
        <f>O17</f>
        <v>0.53716198381653557</v>
      </c>
      <c r="O17" s="18">
        <f>SQRT(P17)</f>
        <v>0.53716198381653557</v>
      </c>
      <c r="P17" s="20">
        <f>SUM(P15:P16)</f>
        <v>0.28854299685771606</v>
      </c>
    </row>
    <row r="19" spans="9:16" ht="29.65" customHeight="1">
      <c r="I19" s="89" t="s">
        <v>49</v>
      </c>
      <c r="J19" s="90"/>
      <c r="K19" s="90"/>
      <c r="L19" s="90"/>
      <c r="M19" s="91"/>
    </row>
    <row r="20" spans="9:16" ht="26.25" customHeight="1">
      <c r="I20" s="92" t="s">
        <v>50</v>
      </c>
      <c r="J20" s="10">
        <f>L17</f>
        <v>9008.0519999999979</v>
      </c>
      <c r="K20" s="85" t="s">
        <v>44</v>
      </c>
      <c r="L20" s="86"/>
      <c r="M20" s="87"/>
    </row>
    <row r="21" spans="9:16" ht="26.25" customHeight="1">
      <c r="I21" s="93"/>
      <c r="J21" s="10">
        <f>J20*1000/C5</f>
        <v>166.01643936601545</v>
      </c>
      <c r="K21" s="94" t="s">
        <v>51</v>
      </c>
      <c r="L21" s="95"/>
      <c r="M21" s="4">
        <f>M17</f>
        <v>0.53716198381653557</v>
      </c>
    </row>
    <row r="22" spans="9:16" ht="26.25" customHeight="1">
      <c r="I22" s="15" t="s">
        <v>52</v>
      </c>
      <c r="J22" s="11">
        <f>J15</f>
        <v>395.08999999999992</v>
      </c>
      <c r="K22" s="85" t="s">
        <v>53</v>
      </c>
      <c r="L22" s="86"/>
      <c r="M22" s="87"/>
    </row>
    <row r="23" spans="9:16" ht="26.25" customHeight="1">
      <c r="I23" s="15" t="s">
        <v>54</v>
      </c>
      <c r="J23" s="11">
        <f>(18*C6+0.8*C5)*C7/1000/24</f>
        <v>103.649</v>
      </c>
      <c r="K23" s="85" t="s">
        <v>53</v>
      </c>
      <c r="L23" s="86"/>
      <c r="M23" s="87"/>
    </row>
    <row r="24" spans="9:16" ht="26.25" customHeight="1">
      <c r="I24" s="15" t="s">
        <v>55</v>
      </c>
      <c r="J24" s="11">
        <f>J22/J23</f>
        <v>3.8118071568466645</v>
      </c>
      <c r="K24" s="70"/>
      <c r="L24" s="88"/>
      <c r="M24" s="71"/>
    </row>
  </sheetData>
  <sheetProtection algorithmName="SHA-512" hashValue="CRY3Qlc64IO2WF/jk+h1ny5v7XwlurPezopJHPQYSBLM9J32ONc5trg7BjOQk6Fv/v4JHo/w9Nvrz3Tg//MlwQ==" saltValue="sHEDvtzUAYtmJL4Kt4kHSQ==" spinCount="100000" sheet="1" objects="1" scenarios="1"/>
  <mergeCells count="20">
    <mergeCell ref="B12:C12"/>
    <mergeCell ref="B4:D4"/>
    <mergeCell ref="D5:D7"/>
    <mergeCell ref="E5:E7"/>
    <mergeCell ref="F5:F7"/>
    <mergeCell ref="P5:P7"/>
    <mergeCell ref="B8:C8"/>
    <mergeCell ref="B9:C9"/>
    <mergeCell ref="B10:C10"/>
    <mergeCell ref="B11:C11"/>
    <mergeCell ref="G5:G7"/>
    <mergeCell ref="O5:O7"/>
    <mergeCell ref="K22:M22"/>
    <mergeCell ref="K23:M23"/>
    <mergeCell ref="K24:M24"/>
    <mergeCell ref="J17:K17"/>
    <mergeCell ref="I19:M19"/>
    <mergeCell ref="I20:I21"/>
    <mergeCell ref="K20:M20"/>
    <mergeCell ref="K21:L21"/>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78FE0-06F4-4405-BA50-FED52FB42D5A}">
  <dimension ref="B2:P25"/>
  <sheetViews>
    <sheetView workbookViewId="0">
      <selection activeCell="U10" sqref="U10"/>
    </sheetView>
  </sheetViews>
  <sheetFormatPr defaultRowHeight="15"/>
  <cols>
    <col min="1" max="1" width="4" customWidth="1"/>
    <col min="2" max="2" width="30" customWidth="1"/>
    <col min="3" max="7" width="11" customWidth="1"/>
    <col min="8" max="8" width="6.28515625" customWidth="1"/>
    <col min="9" max="9" width="39.42578125" customWidth="1"/>
    <col min="10" max="12" width="10.85546875" customWidth="1"/>
    <col min="13" max="13" width="10.140625" customWidth="1"/>
    <col min="15" max="16" width="0" hidden="1" customWidth="1"/>
  </cols>
  <sheetData>
    <row r="2" spans="2:16" ht="23.25">
      <c r="B2" s="16" t="s">
        <v>57</v>
      </c>
    </row>
    <row r="4" spans="2:16" s="17" customFormat="1" ht="26.25" customHeight="1">
      <c r="B4" s="16" t="s">
        <v>0</v>
      </c>
    </row>
    <row r="5" spans="2:16" ht="18" customHeight="1"/>
    <row r="6" spans="2:16" ht="27.75" customHeight="1">
      <c r="B6" s="74" t="s">
        <v>22</v>
      </c>
      <c r="C6" s="75"/>
      <c r="D6" s="76"/>
      <c r="E6" s="51">
        <v>38542</v>
      </c>
      <c r="F6" s="1"/>
      <c r="G6" s="51">
        <v>38548</v>
      </c>
      <c r="O6" s="7" t="s">
        <v>24</v>
      </c>
      <c r="P6" s="7" t="s">
        <v>25</v>
      </c>
    </row>
    <row r="7" spans="2:16" ht="18" customHeight="1">
      <c r="B7" s="2" t="s">
        <v>26</v>
      </c>
      <c r="C7" s="48">
        <v>3310</v>
      </c>
      <c r="D7" s="77" t="s">
        <v>27</v>
      </c>
      <c r="E7" s="77" t="s">
        <v>28</v>
      </c>
      <c r="F7" s="78" t="s">
        <v>29</v>
      </c>
      <c r="G7" s="78" t="s">
        <v>30</v>
      </c>
      <c r="O7" s="79"/>
      <c r="P7" s="82"/>
    </row>
    <row r="8" spans="2:16" ht="18" customHeight="1">
      <c r="B8" s="2" t="s">
        <v>31</v>
      </c>
      <c r="C8" s="43">
        <v>47</v>
      </c>
      <c r="D8" s="77"/>
      <c r="E8" s="77"/>
      <c r="F8" s="78"/>
      <c r="G8" s="78"/>
      <c r="O8" s="80"/>
      <c r="P8" s="83"/>
    </row>
    <row r="9" spans="2:16" ht="18" customHeight="1">
      <c r="B9" s="2" t="s">
        <v>32</v>
      </c>
      <c r="C9" s="43">
        <v>59</v>
      </c>
      <c r="D9" s="77"/>
      <c r="E9" s="77"/>
      <c r="F9" s="78"/>
      <c r="G9" s="78"/>
      <c r="O9" s="81"/>
      <c r="P9" s="84"/>
    </row>
    <row r="10" spans="2:16" ht="26.25" customHeight="1">
      <c r="B10" s="68" t="s">
        <v>33</v>
      </c>
      <c r="C10" s="69"/>
      <c r="D10" s="43">
        <v>6.5</v>
      </c>
      <c r="E10" s="11">
        <f>D10/1000*60*60</f>
        <v>23.4</v>
      </c>
      <c r="F10" s="3">
        <f>D10*60*60/C$7</f>
        <v>7.0694864048338371</v>
      </c>
      <c r="G10" s="44">
        <v>0.02</v>
      </c>
      <c r="O10" s="19">
        <f>D10*G10/1.96</f>
        <v>6.6326530612244902E-2</v>
      </c>
      <c r="P10" s="21">
        <f>O10*O10</f>
        <v>4.3992086630570597E-3</v>
      </c>
    </row>
    <row r="11" spans="2:16" ht="26.25" customHeight="1">
      <c r="B11" s="68" t="s">
        <v>58</v>
      </c>
      <c r="C11" s="69"/>
      <c r="D11" s="11">
        <f>E11*1000/60/60</f>
        <v>1.8388888888888888</v>
      </c>
      <c r="E11" s="11">
        <f>F11*C7/1000</f>
        <v>6.62</v>
      </c>
      <c r="F11" s="52">
        <v>2</v>
      </c>
      <c r="G11" s="44">
        <v>0.4</v>
      </c>
      <c r="O11" s="19">
        <f>G11*D11/1.96</f>
        <v>0.37528344671201813</v>
      </c>
      <c r="P11" s="21">
        <f t="shared" ref="P11:P12" si="0">O11*O11</f>
        <v>0.14083766537605216</v>
      </c>
    </row>
    <row r="12" spans="2:16" ht="26.25" customHeight="1">
      <c r="B12" s="68" t="s">
        <v>59</v>
      </c>
      <c r="C12" s="69"/>
      <c r="D12" s="43">
        <v>0</v>
      </c>
      <c r="E12" s="11">
        <f t="shared" ref="E12" si="1">D12/1000*60*60</f>
        <v>0</v>
      </c>
      <c r="F12" s="3">
        <f t="shared" ref="F12" si="2">D12*60*60/C$7</f>
        <v>0</v>
      </c>
      <c r="G12" s="44">
        <v>0.2</v>
      </c>
      <c r="O12" s="19">
        <f>G12*D12/1.96</f>
        <v>0</v>
      </c>
      <c r="P12" s="21">
        <f t="shared" si="0"/>
        <v>0</v>
      </c>
    </row>
    <row r="13" spans="2:16" ht="26.25" customHeight="1">
      <c r="B13" s="68" t="s">
        <v>60</v>
      </c>
      <c r="C13" s="69"/>
      <c r="D13" s="11">
        <f>D10-D11-D12</f>
        <v>4.6611111111111114</v>
      </c>
      <c r="E13" s="11">
        <f>D13/1000*60*60</f>
        <v>16.78</v>
      </c>
      <c r="F13" s="3">
        <f>D13*60*60/C$7</f>
        <v>5.0694864048338371</v>
      </c>
      <c r="G13" s="4">
        <f>1.96*O13/D13</f>
        <v>0.16025259176815057</v>
      </c>
      <c r="L13" s="13"/>
      <c r="O13" s="20">
        <f>SQRT(P13)</f>
        <v>0.38109955922187738</v>
      </c>
      <c r="P13" s="22">
        <f>SUM(P10:P12)</f>
        <v>0.14523687403910923</v>
      </c>
    </row>
    <row r="14" spans="2:16" ht="27.95" customHeight="1">
      <c r="B14" s="5"/>
      <c r="C14" s="5"/>
      <c r="D14" s="5"/>
      <c r="E14" s="5"/>
      <c r="F14" s="5"/>
      <c r="G14" s="5"/>
    </row>
    <row r="15" spans="2:16" ht="39" customHeight="1">
      <c r="B15" s="96" t="s">
        <v>61</v>
      </c>
      <c r="C15" s="96"/>
      <c r="D15" s="96"/>
      <c r="E15" s="96"/>
      <c r="F15" s="96"/>
      <c r="G15" s="96"/>
      <c r="I15" s="12" t="s">
        <v>41</v>
      </c>
      <c r="J15" s="6" t="s">
        <v>42</v>
      </c>
      <c r="K15" s="6" t="s">
        <v>43</v>
      </c>
      <c r="L15" s="6" t="s">
        <v>44</v>
      </c>
      <c r="M15" s="7" t="s">
        <v>30</v>
      </c>
      <c r="O15" s="7" t="s">
        <v>30</v>
      </c>
      <c r="P15" s="7" t="s">
        <v>45</v>
      </c>
    </row>
    <row r="16" spans="2:16" ht="26.25" customHeight="1">
      <c r="B16" s="96"/>
      <c r="C16" s="96"/>
      <c r="D16" s="96"/>
      <c r="E16" s="96"/>
      <c r="F16" s="96"/>
      <c r="G16" s="96"/>
      <c r="I16" s="15" t="s">
        <v>46</v>
      </c>
      <c r="J16" s="11">
        <f>E13</f>
        <v>16.78</v>
      </c>
      <c r="K16" s="8"/>
      <c r="L16" s="9"/>
      <c r="M16" s="4">
        <f>G13</f>
        <v>0.16025259176815057</v>
      </c>
      <c r="O16" s="14">
        <f>M16</f>
        <v>0.16025259176815057</v>
      </c>
      <c r="P16" s="19">
        <f>O16*O16</f>
        <v>2.5680893168409519E-2</v>
      </c>
    </row>
    <row r="17" spans="9:16" ht="26.25" customHeight="1">
      <c r="I17" s="15" t="s">
        <v>47</v>
      </c>
      <c r="J17" s="3"/>
      <c r="K17" s="43">
        <v>20</v>
      </c>
      <c r="L17" s="9"/>
      <c r="M17" s="44">
        <v>0.05</v>
      </c>
      <c r="O17" s="14">
        <f>M17</f>
        <v>0.05</v>
      </c>
      <c r="P17" s="19">
        <f t="shared" ref="P17" si="3">O17*O17</f>
        <v>2.5000000000000005E-3</v>
      </c>
    </row>
    <row r="18" spans="9:16" ht="26.25" customHeight="1">
      <c r="I18" s="15" t="s">
        <v>48</v>
      </c>
      <c r="J18" s="70"/>
      <c r="K18" s="71"/>
      <c r="L18" s="10">
        <f>J16*K17</f>
        <v>335.6</v>
      </c>
      <c r="M18" s="4">
        <f>O18</f>
        <v>0.16787165683464711</v>
      </c>
      <c r="O18" s="18">
        <f>SQRT(P18)</f>
        <v>0.16787165683464711</v>
      </c>
      <c r="P18" s="20">
        <f>SUM(P16:P17)</f>
        <v>2.8180893168409521E-2</v>
      </c>
    </row>
    <row r="20" spans="9:16" ht="29.65" customHeight="1">
      <c r="I20" s="89" t="s">
        <v>49</v>
      </c>
      <c r="J20" s="90"/>
      <c r="K20" s="90"/>
      <c r="L20" s="90"/>
      <c r="M20" s="91"/>
    </row>
    <row r="21" spans="9:16" ht="26.25" customHeight="1">
      <c r="I21" s="92" t="s">
        <v>50</v>
      </c>
      <c r="J21" s="10">
        <f>L18</f>
        <v>335.6</v>
      </c>
      <c r="K21" s="85" t="s">
        <v>44</v>
      </c>
      <c r="L21" s="86"/>
      <c r="M21" s="87"/>
    </row>
    <row r="22" spans="9:16" ht="26.25" customHeight="1">
      <c r="I22" s="93"/>
      <c r="J22" s="10">
        <f>J21*1000/C7</f>
        <v>101.38972809667673</v>
      </c>
      <c r="K22" s="94" t="s">
        <v>51</v>
      </c>
      <c r="L22" s="95"/>
      <c r="M22" s="4">
        <f>M18</f>
        <v>0.16787165683464711</v>
      </c>
    </row>
    <row r="23" spans="9:16" ht="26.25" customHeight="1">
      <c r="I23" s="15" t="s">
        <v>52</v>
      </c>
      <c r="J23" s="11">
        <f>J16</f>
        <v>16.78</v>
      </c>
      <c r="K23" s="85" t="s">
        <v>53</v>
      </c>
      <c r="L23" s="86"/>
      <c r="M23" s="87"/>
    </row>
    <row r="24" spans="9:16" ht="26.25" customHeight="1">
      <c r="I24" s="15" t="s">
        <v>54</v>
      </c>
      <c r="J24" s="11">
        <f>(18*C8+0.8*C7)*C9/1000/24</f>
        <v>8.5894166666666667</v>
      </c>
      <c r="K24" s="85" t="s">
        <v>53</v>
      </c>
      <c r="L24" s="86"/>
      <c r="M24" s="87"/>
    </row>
    <row r="25" spans="9:16" ht="26.25" customHeight="1">
      <c r="I25" s="15" t="s">
        <v>55</v>
      </c>
      <c r="J25" s="3">
        <f>J23/J24</f>
        <v>1.9535668894860925</v>
      </c>
      <c r="K25" s="70"/>
      <c r="L25" s="88"/>
      <c r="M25" s="71"/>
    </row>
  </sheetData>
  <sheetProtection algorithmName="SHA-512" hashValue="KiEMSPZ9AP6oyAdzfk9jHLWC1DkAFL3u9OSrYDtAotjxIiaZV61d/mZulTRPl4Lwh+CyWZELKhIsfIo4hq6SFQ==" saltValue="5f/Xf6scEpJlSaTkEo4Ccg==" spinCount="100000" sheet="1" objects="1" scenarios="1"/>
  <mergeCells count="20">
    <mergeCell ref="J18:K18"/>
    <mergeCell ref="B6:D6"/>
    <mergeCell ref="D7:D9"/>
    <mergeCell ref="E7:E9"/>
    <mergeCell ref="F7:F9"/>
    <mergeCell ref="G7:G9"/>
    <mergeCell ref="B15:G16"/>
    <mergeCell ref="P7:P9"/>
    <mergeCell ref="B10:C10"/>
    <mergeCell ref="B11:C11"/>
    <mergeCell ref="B12:C12"/>
    <mergeCell ref="B13:C13"/>
    <mergeCell ref="O7:O9"/>
    <mergeCell ref="K25:M25"/>
    <mergeCell ref="I20:M20"/>
    <mergeCell ref="I21:I22"/>
    <mergeCell ref="K21:M21"/>
    <mergeCell ref="K22:L22"/>
    <mergeCell ref="K23:M23"/>
    <mergeCell ref="K24:M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5F046-5866-48D3-ACA0-C4DE32640532}">
  <dimension ref="A1"/>
  <sheetViews>
    <sheetView workbookViewId="0">
      <selection activeCell="O21" sqref="O21"/>
    </sheetView>
  </sheetViews>
  <sheetFormatPr defaultRowHeight="15"/>
  <sheetData/>
  <sheetProtection algorithmName="SHA-512" hashValue="7wSlAROAgtrvI6aUwX7qVxwgf2Us3YJ6Ac2Byv0cMmJqM3U/KLe2G1hgnYrMpokoZaUUFhfxul5ZUS5uZBtGOg==" saltValue="xk/7ptU4UlFrQnptPGcBOg=="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5FD83D971FAD04DB2639AA82678211A" ma:contentTypeVersion="17" ma:contentTypeDescription="Create a new document." ma:contentTypeScope="" ma:versionID="141e237d6bec11301e81d3dc2e79a633">
  <xsd:schema xmlns:xsd="http://www.w3.org/2001/XMLSchema" xmlns:xs="http://www.w3.org/2001/XMLSchema" xmlns:p="http://schemas.microsoft.com/office/2006/metadata/properties" xmlns:ns2="1bf58d84-5e20-4a41-aa73-0a6f7670ae44" xmlns:ns3="ed53b97b-cfb5-43fb-98c8-420dca68bc0c" targetNamespace="http://schemas.microsoft.com/office/2006/metadata/properties" ma:root="true" ma:fieldsID="8a508d75f52b41d09fc662e3a119113f" ns2:_="" ns3:_="">
    <xsd:import namespace="1bf58d84-5e20-4a41-aa73-0a6f7670ae44"/>
    <xsd:import namespace="ed53b97b-cfb5-43fb-98c8-420dca68bc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58d84-5e20-4a41-aa73-0a6f7670ae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0e5db3c-8ba6-4bd5-be1c-b4e1caae56c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53b97b-cfb5-43fb-98c8-420dca68bc0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77a1829-6093-4983-9065-48e89054a285}" ma:internalName="TaxCatchAll" ma:showField="CatchAllData" ma:web="ed53b97b-cfb5-43fb-98c8-420dca68bc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bf58d84-5e20-4a41-aa73-0a6f7670ae44">
      <Terms xmlns="http://schemas.microsoft.com/office/infopath/2007/PartnerControls"/>
    </lcf76f155ced4ddcb4097134ff3c332f>
    <TaxCatchAll xmlns="ed53b97b-cfb5-43fb-98c8-420dca68bc0c" xsi:nil="true"/>
  </documentManagement>
</p:properties>
</file>

<file path=customXml/itemProps1.xml><?xml version="1.0" encoding="utf-8"?>
<ds:datastoreItem xmlns:ds="http://schemas.openxmlformats.org/officeDocument/2006/customXml" ds:itemID="{9F1C0065-0718-4318-855A-873A42891A9F}"/>
</file>

<file path=customXml/itemProps2.xml><?xml version="1.0" encoding="utf-8"?>
<ds:datastoreItem xmlns:ds="http://schemas.openxmlformats.org/officeDocument/2006/customXml" ds:itemID="{8BD6A132-7AF0-40B1-BCAE-3F7796A6EE1B}"/>
</file>

<file path=customXml/itemProps3.xml><?xml version="1.0" encoding="utf-8"?>
<ds:datastoreItem xmlns:ds="http://schemas.openxmlformats.org/officeDocument/2006/customXml" ds:itemID="{066B3356-4650-4361-8BC0-DF35A76D0E2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Taylor</dc:creator>
  <cp:keywords/>
  <dc:description/>
  <cp:lastModifiedBy/>
  <cp:revision/>
  <dcterms:created xsi:type="dcterms:W3CDTF">2013-11-20T01:26:22Z</dcterms:created>
  <dcterms:modified xsi:type="dcterms:W3CDTF">2023-09-15T05:38:46Z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0x010100A3B563BE8571284AA301870208EA1E72</vt:lpwstr>
  </property>
</Properties>
</file>