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ThisWorkbook"/>
  <bookViews>
    <workbookView xWindow="0" yWindow="0" windowWidth="24030" windowHeight="7185"/>
  </bookViews>
  <sheets>
    <sheet name="Deterioration Modelling" sheetId="1" r:id="rId1"/>
    <sheet name="Constants" sheetId="2" r:id="rId2"/>
  </sheets>
  <definedNames>
    <definedName name="DetnRates">'Deterioration Modelling'!$A$4:$B$6</definedName>
    <definedName name="DetnSW">Constants!#REF!</definedName>
    <definedName name="DetnWS">Constants!#REF!</definedName>
    <definedName name="DetnWW">Constants!#REF!</definedName>
    <definedName name="Gravity">Constants!$B$3</definedName>
    <definedName name="MPaRatings">Constants!$A$9:$B$11</definedName>
    <definedName name="_xlnm.Print_Area" localSheetId="0">'Deterioration Modelling'!$A$1:$S$39</definedName>
    <definedName name="SF">Constants!$B$4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 l="1"/>
  <c r="O11" i="1"/>
  <c r="N11" i="1"/>
  <c r="N9" i="1" l="1"/>
  <c r="N10" i="1"/>
  <c r="R11" i="1"/>
  <c r="S11" i="1" s="1"/>
  <c r="N12" i="1"/>
  <c r="N13" i="1"/>
  <c r="N14" i="1"/>
  <c r="N15" i="1"/>
  <c r="R15" i="1" s="1"/>
  <c r="S15" i="1" s="1"/>
  <c r="N16" i="1"/>
  <c r="N17" i="1"/>
  <c r="N18" i="1"/>
  <c r="N19" i="1"/>
  <c r="N20" i="1"/>
  <c r="N21" i="1"/>
  <c r="N22" i="1"/>
  <c r="N23" i="1"/>
  <c r="N24" i="1"/>
  <c r="R24" i="1" s="1"/>
  <c r="S24" i="1" s="1"/>
  <c r="N25" i="1"/>
  <c r="N26" i="1"/>
  <c r="N27" i="1"/>
  <c r="N28" i="1"/>
  <c r="N29" i="1"/>
  <c r="N30" i="1"/>
  <c r="M10" i="1"/>
  <c r="Q11" i="1"/>
  <c r="P11" i="1"/>
  <c r="M12" i="1"/>
  <c r="O12" i="1"/>
  <c r="Q12" i="1" s="1"/>
  <c r="P12" i="1"/>
  <c r="M13" i="1"/>
  <c r="R13" i="1" s="1"/>
  <c r="S13" i="1" s="1"/>
  <c r="O13" i="1"/>
  <c r="Q13" i="1" s="1"/>
  <c r="P13" i="1"/>
  <c r="M14" i="1"/>
  <c r="O14" i="1"/>
  <c r="Q14" i="1" s="1"/>
  <c r="P14" i="1"/>
  <c r="M15" i="1"/>
  <c r="O15" i="1"/>
  <c r="Q15" i="1" s="1"/>
  <c r="P15" i="1"/>
  <c r="M16" i="1"/>
  <c r="O16" i="1"/>
  <c r="Q16" i="1" s="1"/>
  <c r="P16" i="1"/>
  <c r="M17" i="1"/>
  <c r="O17" i="1"/>
  <c r="Q17" i="1" s="1"/>
  <c r="P17" i="1"/>
  <c r="M18" i="1"/>
  <c r="O18" i="1"/>
  <c r="Q18" i="1" s="1"/>
  <c r="P18" i="1"/>
  <c r="M19" i="1"/>
  <c r="O19" i="1"/>
  <c r="Q19" i="1" s="1"/>
  <c r="P19" i="1"/>
  <c r="M20" i="1"/>
  <c r="O20" i="1"/>
  <c r="Q20" i="1" s="1"/>
  <c r="P20" i="1"/>
  <c r="M21" i="1"/>
  <c r="O21" i="1"/>
  <c r="Q21" i="1" s="1"/>
  <c r="P21" i="1"/>
  <c r="M22" i="1"/>
  <c r="R22" i="1" s="1"/>
  <c r="S22" i="1" s="1"/>
  <c r="O22" i="1"/>
  <c r="Q22" i="1" s="1"/>
  <c r="P22" i="1"/>
  <c r="M23" i="1"/>
  <c r="O23" i="1"/>
  <c r="Q23" i="1" s="1"/>
  <c r="P23" i="1"/>
  <c r="M24" i="1"/>
  <c r="O24" i="1"/>
  <c r="Q24" i="1" s="1"/>
  <c r="P24" i="1"/>
  <c r="M25" i="1"/>
  <c r="O25" i="1"/>
  <c r="Q25" i="1" s="1"/>
  <c r="P25" i="1"/>
  <c r="M26" i="1"/>
  <c r="O26" i="1"/>
  <c r="Q26" i="1" s="1"/>
  <c r="P26" i="1"/>
  <c r="M27" i="1"/>
  <c r="O27" i="1"/>
  <c r="Q27" i="1" s="1"/>
  <c r="P27" i="1"/>
  <c r="M28" i="1"/>
  <c r="O28" i="1"/>
  <c r="Q28" i="1" s="1"/>
  <c r="P28" i="1"/>
  <c r="M29" i="1"/>
  <c r="O29" i="1"/>
  <c r="Q29" i="1" s="1"/>
  <c r="P29" i="1"/>
  <c r="M30" i="1"/>
  <c r="O30" i="1"/>
  <c r="Q30" i="1" s="1"/>
  <c r="P30" i="1"/>
  <c r="R30" i="1" l="1"/>
  <c r="S30" i="1" s="1"/>
  <c r="R12" i="1"/>
  <c r="S12" i="1" s="1"/>
  <c r="R28" i="1"/>
  <c r="S28" i="1" s="1"/>
  <c r="R14" i="1"/>
  <c r="S14" i="1" s="1"/>
  <c r="R20" i="1"/>
  <c r="S20" i="1" s="1"/>
  <c r="R16" i="1"/>
  <c r="S16" i="1" s="1"/>
  <c r="R25" i="1"/>
  <c r="S25" i="1" s="1"/>
  <c r="R23" i="1"/>
  <c r="S23" i="1" s="1"/>
  <c r="R21" i="1"/>
  <c r="S21" i="1" s="1"/>
  <c r="R19" i="1"/>
  <c r="S19" i="1" s="1"/>
  <c r="R17" i="1"/>
  <c r="S17" i="1" s="1"/>
  <c r="R18" i="1"/>
  <c r="S18" i="1" s="1"/>
  <c r="R26" i="1"/>
  <c r="S26" i="1" s="1"/>
  <c r="R29" i="1"/>
  <c r="S29" i="1" s="1"/>
  <c r="R27" i="1"/>
  <c r="S27" i="1" s="1"/>
  <c r="O10" i="1" l="1"/>
  <c r="M9" i="1" l="1"/>
  <c r="Q10" i="1" l="1"/>
  <c r="P9" i="1"/>
  <c r="P10" i="1"/>
  <c r="O9" i="1"/>
  <c r="Q9" i="1" s="1"/>
  <c r="R9" i="1" l="1"/>
  <c r="S9" i="1" s="1"/>
  <c r="R10" i="1"/>
  <c r="S10" i="1" s="1"/>
</calcChain>
</file>

<file path=xl/sharedStrings.xml><?xml version="1.0" encoding="utf-8"?>
<sst xmlns="http://schemas.openxmlformats.org/spreadsheetml/2006/main" count="57" uniqueCount="47">
  <si>
    <t>Sample #</t>
  </si>
  <si>
    <t>Use</t>
  </si>
  <si>
    <t>Water</t>
  </si>
  <si>
    <t>Wastewater</t>
  </si>
  <si>
    <t>Surge Factor</t>
  </si>
  <si>
    <t>DN</t>
  </si>
  <si>
    <t>MPa</t>
  </si>
  <si>
    <t>Variables</t>
  </si>
  <si>
    <t>Results</t>
  </si>
  <si>
    <t>Location / Address / Notes</t>
  </si>
  <si>
    <t>Class</t>
  </si>
  <si>
    <r>
      <t>Gravity (m/s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)</t>
    </r>
  </si>
  <si>
    <t>Deterioration Modelling - Lookup Data / Default Values</t>
  </si>
  <si>
    <t>Start Year</t>
  </si>
  <si>
    <t>Material MPa Ratings by Year</t>
  </si>
  <si>
    <t>MPa Rating</t>
  </si>
  <si>
    <t>Deterioration Modelling for Pressure Pipelines</t>
  </si>
  <si>
    <t>Data Required for Deterioration Modelling</t>
  </si>
  <si>
    <t>Average Deterioration Rates (mm/year)</t>
  </si>
  <si>
    <t>Stormwater</t>
  </si>
  <si>
    <t>Year Installed</t>
  </si>
  <si>
    <t>Operating Pressure (m)</t>
  </si>
  <si>
    <t>Mean Pipe OD (mm)</t>
  </si>
  <si>
    <t>Min Wall Thickness (mm)</t>
  </si>
  <si>
    <t>National Det'n Rate</t>
  </si>
  <si>
    <t>Sample Det'n Rate</t>
  </si>
  <si>
    <t>Est. Year of First Det'n Failure</t>
  </si>
  <si>
    <t>Example 1</t>
  </si>
  <si>
    <t>Example 2</t>
  </si>
  <si>
    <t>Example 3</t>
  </si>
  <si>
    <t>Example 4</t>
  </si>
  <si>
    <t>Example 5</t>
  </si>
  <si>
    <t>Example 6</t>
  </si>
  <si>
    <t>CD</t>
  </si>
  <si>
    <t>D</t>
  </si>
  <si>
    <t>B</t>
  </si>
  <si>
    <t>Site 1</t>
  </si>
  <si>
    <t>Site 2</t>
  </si>
  <si>
    <t>Site 3</t>
  </si>
  <si>
    <t>Site 4</t>
  </si>
  <si>
    <t>Site 5</t>
  </si>
  <si>
    <t>Site 6</t>
  </si>
  <si>
    <t>Estimate Pipe Life</t>
  </si>
  <si>
    <t>Year Recovered</t>
  </si>
  <si>
    <t>Max. Ext Det'n</t>
  </si>
  <si>
    <t>Max. Int Det'n</t>
  </si>
  <si>
    <t>Comparison to Nat. Avg.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</si>
</sst>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 applyProtection="1"/>
    <xf numFmtId="0" fontId="1" fillId="0" borderId="0" xfId="0" applyFont="1" applyProtection="1"/>
    <xf numFmtId="0" fontId="1" fillId="0" borderId="0" xfId="0" applyFont="1" applyBorder="1" applyAlignment="1" applyProtection="1">
      <alignment horizontal="center" vertical="center"/>
    </xf>
    <xf numFmtId="1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 wrapText="1"/>
    </xf>
    <xf numFmtId="1" fontId="1" fillId="2" borderId="4" xfId="0" applyNumberFormat="1" applyFont="1" applyFill="1" applyBorder="1" applyAlignment="1" applyProtection="1">
      <alignment horizontal="center" vertical="center"/>
    </xf>
    <xf numFmtId="1" fontId="1" fillId="2" borderId="0" xfId="0" applyNumberFormat="1" applyFont="1" applyFill="1" applyBorder="1" applyAlignment="1" applyProtection="1">
      <alignment horizontal="center" vertical="center"/>
    </xf>
    <xf numFmtId="164" fontId="1" fillId="2" borderId="0" xfId="0" applyNumberFormat="1" applyFont="1" applyFill="1" applyBorder="1" applyAlignment="1" applyProtection="1">
      <alignment horizontal="center" vertical="center"/>
    </xf>
    <xf numFmtId="164" fontId="1" fillId="2" borderId="5" xfId="0" applyNumberFormat="1" applyFont="1" applyFill="1" applyBorder="1" applyAlignment="1" applyProtection="1">
      <alignment horizontal="center" vertical="center"/>
    </xf>
    <xf numFmtId="164" fontId="1" fillId="3" borderId="4" xfId="0" applyNumberFormat="1" applyFont="1" applyFill="1" applyBorder="1" applyAlignment="1" applyProtection="1">
      <alignment horizontal="center" vertical="center"/>
    </xf>
    <xf numFmtId="164" fontId="1" fillId="3" borderId="0" xfId="0" applyNumberFormat="1" applyFont="1" applyFill="1" applyBorder="1" applyAlignment="1" applyProtection="1">
      <alignment horizontal="center" vertical="center"/>
    </xf>
    <xf numFmtId="165" fontId="1" fillId="3" borderId="5" xfId="0" applyNumberFormat="1" applyFont="1" applyFill="1" applyBorder="1" applyAlignment="1" applyProtection="1">
      <alignment horizontal="center" vertical="center"/>
    </xf>
    <xf numFmtId="165" fontId="1" fillId="4" borderId="4" xfId="0" applyNumberFormat="1" applyFont="1" applyFill="1" applyBorder="1" applyAlignment="1" applyProtection="1">
      <alignment horizontal="center" vertical="center"/>
    </xf>
    <xf numFmtId="0" fontId="1" fillId="4" borderId="0" xfId="0" applyFont="1" applyFill="1" applyBorder="1" applyAlignment="1" applyProtection="1">
      <alignment horizontal="center" vertical="center"/>
    </xf>
    <xf numFmtId="1" fontId="1" fillId="4" borderId="0" xfId="0" applyNumberFormat="1" applyFont="1" applyFill="1" applyBorder="1" applyAlignment="1" applyProtection="1">
      <alignment horizontal="center" vertical="center"/>
    </xf>
    <xf numFmtId="1" fontId="1" fillId="4" borderId="5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" fillId="4" borderId="0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 applyProtection="1">
      <alignment horizontal="center" vertical="center"/>
    </xf>
    <xf numFmtId="165" fontId="1" fillId="0" borderId="0" xfId="0" applyNumberFormat="1" applyFont="1" applyBorder="1" applyAlignment="1" applyProtection="1">
      <alignment horizontal="center" vertical="center"/>
    </xf>
    <xf numFmtId="0" fontId="4" fillId="5" borderId="10" xfId="0" applyFont="1" applyFill="1" applyBorder="1" applyAlignment="1" applyProtection="1">
      <alignment vertical="center"/>
    </xf>
    <xf numFmtId="0" fontId="4" fillId="5" borderId="14" xfId="0" applyFont="1" applyFill="1" applyBorder="1" applyAlignment="1" applyProtection="1">
      <alignment vertical="center"/>
    </xf>
    <xf numFmtId="0" fontId="4" fillId="5" borderId="9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5" borderId="6" xfId="0" applyFont="1" applyFill="1" applyBorder="1" applyAlignment="1" applyProtection="1">
      <alignment horizontal="center" vertical="center"/>
    </xf>
    <xf numFmtId="0" fontId="4" fillId="5" borderId="7" xfId="0" applyFont="1" applyFill="1" applyBorder="1" applyAlignment="1" applyProtection="1">
      <alignment horizontal="center" vertical="center"/>
    </xf>
    <xf numFmtId="0" fontId="4" fillId="5" borderId="8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/>
    </xf>
    <xf numFmtId="0" fontId="5" fillId="2" borderId="2" xfId="0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/>
    </xf>
    <xf numFmtId="0" fontId="5" fillId="3" borderId="2" xfId="0" applyFont="1" applyFill="1" applyBorder="1" applyAlignment="1" applyProtection="1">
      <alignment horizontal="center"/>
    </xf>
    <xf numFmtId="0" fontId="5" fillId="3" borderId="3" xfId="0" applyFont="1" applyFill="1" applyBorder="1" applyAlignment="1" applyProtection="1">
      <alignment horizontal="center"/>
    </xf>
    <xf numFmtId="0" fontId="5" fillId="4" borderId="1" xfId="0" applyFont="1" applyFill="1" applyBorder="1" applyAlignment="1" applyProtection="1">
      <alignment horizontal="center"/>
    </xf>
    <xf numFmtId="0" fontId="5" fillId="4" borderId="2" xfId="0" applyFont="1" applyFill="1" applyBorder="1" applyAlignment="1" applyProtection="1">
      <alignment horizontal="center"/>
    </xf>
    <xf numFmtId="0" fontId="5" fillId="4" borderId="3" xfId="0" applyFont="1" applyFill="1" applyBorder="1" applyAlignment="1" applyProtection="1">
      <alignment horizontal="center"/>
    </xf>
    <xf numFmtId="165" fontId="1" fillId="4" borderId="11" xfId="0" applyNumberFormat="1" applyFont="1" applyFill="1" applyBorder="1" applyAlignment="1" applyProtection="1">
      <alignment horizontal="center" vertical="center"/>
    </xf>
    <xf numFmtId="165" fontId="1" fillId="4" borderId="12" xfId="0" applyNumberFormat="1" applyFont="1" applyFill="1" applyBorder="1" applyAlignment="1" applyProtection="1">
      <alignment horizontal="center" vertical="center"/>
    </xf>
    <xf numFmtId="165" fontId="1" fillId="4" borderId="13" xfId="0" applyNumberFormat="1" applyFont="1" applyFill="1" applyBorder="1" applyAlignment="1" applyProtection="1">
      <alignment horizontal="center" vertical="center"/>
    </xf>
    <xf numFmtId="165" fontId="1" fillId="4" borderId="15" xfId="0" applyNumberFormat="1" applyFont="1" applyFill="1" applyBorder="1" applyAlignment="1" applyProtection="1">
      <alignment horizontal="center" vertical="center"/>
    </xf>
    <xf numFmtId="165" fontId="1" fillId="4" borderId="16" xfId="0" applyNumberFormat="1" applyFont="1" applyFill="1" applyBorder="1" applyAlignment="1" applyProtection="1">
      <alignment horizontal="center" vertical="center"/>
    </xf>
    <xf numFmtId="165" fontId="1" fillId="4" borderId="17" xfId="0" applyNumberFormat="1" applyFont="1" applyFill="1" applyBorder="1" applyAlignment="1" applyProtection="1">
      <alignment horizontal="center" vertical="center"/>
    </xf>
    <xf numFmtId="165" fontId="1" fillId="4" borderId="18" xfId="0" applyNumberFormat="1" applyFont="1" applyFill="1" applyBorder="1" applyAlignment="1" applyProtection="1">
      <alignment horizontal="center" vertical="center"/>
    </xf>
    <xf numFmtId="165" fontId="1" fillId="4" borderId="19" xfId="0" applyNumberFormat="1" applyFont="1" applyFill="1" applyBorder="1" applyAlignment="1" applyProtection="1">
      <alignment horizontal="center" vertical="center"/>
    </xf>
    <xf numFmtId="165" fontId="1" fillId="4" borderId="20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23">
    <dxf>
      <font>
        <strike val="0"/>
        <outline val="0"/>
        <shadow val="0"/>
        <u val="none"/>
        <sz val="10"/>
        <color theme="1"/>
        <name val="Arial"/>
        <scheme val="none"/>
      </font>
      <numFmt numFmtId="1" formatCode="0"/>
      <fill>
        <patternFill patternType="solid">
          <fgColor indexed="64"/>
          <bgColor rgb="FFCCFFCC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sz val="10"/>
        <color theme="1"/>
        <name val="Arial"/>
        <scheme val="none"/>
      </font>
      <numFmt numFmtId="1" formatCode="0"/>
      <fill>
        <patternFill patternType="solid">
          <fgColor indexed="64"/>
          <bgColor rgb="FFCCFFCC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rgb="FFCCFFCC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sz val="10"/>
        <color theme="1"/>
        <name val="Arial"/>
        <scheme val="none"/>
      </font>
      <numFmt numFmtId="165" formatCode="0.0000"/>
      <fill>
        <patternFill patternType="solid">
          <fgColor indexed="64"/>
          <bgColor rgb="FFCCFFCC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0"/>
    </dxf>
    <dxf>
      <font>
        <strike val="0"/>
        <outline val="0"/>
        <shadow val="0"/>
        <u val="none"/>
        <sz val="10"/>
        <color theme="1"/>
        <name val="Arial"/>
        <scheme val="none"/>
      </font>
      <numFmt numFmtId="165" formatCode="0.0000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sz val="10"/>
        <color theme="1"/>
        <name val="Arial"/>
        <scheme val="none"/>
      </font>
      <numFmt numFmtId="164" formatCode="0.0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sz val="10"/>
        <color theme="1"/>
        <name val="Arial"/>
        <scheme val="none"/>
      </font>
      <numFmt numFmtId="164" formatCode="0.0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0"/>
    </dxf>
    <dxf>
      <font>
        <strike val="0"/>
        <outline val="0"/>
        <shadow val="0"/>
        <u val="none"/>
        <sz val="10"/>
        <color theme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auto="1"/>
        </right>
        <top/>
        <bottom/>
      </border>
      <protection locked="1" hidden="0"/>
    </dxf>
    <dxf>
      <font>
        <strike val="0"/>
        <outline val="0"/>
        <shadow val="0"/>
        <u val="none"/>
        <sz val="10"/>
        <color theme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sz val="10"/>
        <color theme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sz val="10"/>
        <color theme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sz val="10"/>
        <color theme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sz val="10"/>
        <color theme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sz val="10"/>
        <color theme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sz val="10"/>
        <color theme="1"/>
        <name val="Arial"/>
        <scheme val="none"/>
      </font>
      <alignment horizontal="center" vertical="center" textRotation="0" indent="0" justifyLastLine="0" shrinkToFit="0" readingOrder="0"/>
      <protection locked="1" hidden="0"/>
    </dxf>
    <dxf>
      <font>
        <strike val="0"/>
        <outline val="0"/>
        <shadow val="0"/>
        <u val="no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sz val="10"/>
        <color theme="1"/>
        <name val="Arial"/>
        <scheme val="none"/>
      </font>
      <alignment vertical="center" textRotation="0" indent="0" justifyLastLine="0" shrinkToFit="0" readingOrder="0"/>
      <protection locked="1" hidden="0"/>
    </dxf>
    <dxf>
      <font>
        <b/>
        <strike val="0"/>
        <outline val="0"/>
        <shadow val="0"/>
        <u val="none"/>
        <sz val="10"/>
        <color theme="1"/>
        <name val="Arial"/>
        <scheme val="none"/>
      </font>
      <alignment vertical="center" textRotation="0" indent="0" justifyLastLine="0" shrinkToFit="0" readingOrder="0"/>
      <protection locked="1" hidden="0"/>
    </dxf>
    <dxf>
      <border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CleanTable" pivot="0" count="2">
      <tableStyleElement type="wholeTable" dxfId="22"/>
      <tableStyleElement type="headerRow" dxfId="21"/>
    </tableStyle>
  </tableStyles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428625</xdr:colOff>
      <xdr:row>0</xdr:row>
      <xdr:rowOff>47625</xdr:rowOff>
    </xdr:from>
    <xdr:to>
      <xdr:col>20</xdr:col>
      <xdr:colOff>47625</xdr:colOff>
      <xdr:row>4</xdr:row>
      <xdr:rowOff>1056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7825" t="16495" r="9302"/>
        <a:stretch/>
      </xdr:blipFill>
      <xdr:spPr>
        <a:xfrm>
          <a:off x="12601575" y="47625"/>
          <a:ext cx="2219325" cy="77258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8:S30" totalsRowShown="0" headerRowDxfId="20" dataDxfId="19">
  <tableColumns count="19">
    <tableColumn id="1" name="Sample #" dataDxfId="18"/>
    <tableColumn id="2" name="DN" dataDxfId="17"/>
    <tableColumn id="20" name="Class" dataDxfId="16"/>
    <tableColumn id="3" name="Use" dataDxfId="15"/>
    <tableColumn id="4" name="Location / Address / Notes" dataDxfId="14"/>
    <tableColumn id="5" name="Year Installed" dataDxfId="13"/>
    <tableColumn id="6" name="Year Recovered" dataDxfId="12"/>
    <tableColumn id="7" name="Operating Pressure (m)" dataDxfId="11"/>
    <tableColumn id="8" name="Mean Pipe OD (mm)" dataDxfId="10"/>
    <tableColumn id="9" name="Min Wall Thickness (mm)" dataDxfId="9"/>
    <tableColumn id="10" name="Max. Ext Det'n" dataDxfId="8"/>
    <tableColumn id="11" name="Max. Int Det'n" dataDxfId="7"/>
    <tableColumn id="19" name="MPa" dataDxfId="6">
      <calculatedColumnFormula>IF(Table1[[#This Row],[Year Installed]]="","",VLOOKUP(Table1[Year Installed],MPaRatings,2,TRUE))</calculatedColumnFormula>
    </tableColumn>
    <tableColumn id="13" name="Surge Factor" dataDxfId="5">
      <calculatedColumnFormula>IF(Table1[[#This Row],[Year Installed]]="","",SF)</calculatedColumnFormula>
    </tableColumn>
    <tableColumn id="12" name="National Det'n Rate" dataDxfId="4">
      <calculatedColumnFormula>_xlfn.IFNA(VLOOKUP(Table1[Use],DetnRates,2,FALSE),"")</calculatedColumnFormula>
    </tableColumn>
    <tableColumn id="15" name="Sample Det'n Rate" dataDxfId="3">
      <calculatedColumnFormula>IFERROR((Table1[Max. Ext Det''n]+Table1[Max. Int Det''n])/(Table1[Year Recovered]-Table1[Year Installed]),"")</calculatedColumnFormula>
    </tableColumn>
    <tableColumn id="16" name="Comparison to Nat. Avg." dataDxfId="2">
      <calculatedColumnFormula>IFERROR(IF( ((Table1[Max. Ext Det''n]+Table1[Max. Int Det''n])-(Table1[National Det''n Rate]*(Table1[Year Recovered]-Table1[Year Installed])))/(Table1[National Det''n Rate]*(Table1[Year Recovered]-Table1[Year Installed])) &lt; 0, ROUND(((Table1[Max. Ext Det''n]+Table1[Max. Int Det''n])-(Table1[National Det''n Rate]*(Table1[Year Recovered]-Table1[Year Installed])))/(Table1[National Det''n Rate]*(Table1[Year Recovered]-Table1[Year Installed])) *-100,0) &amp;"% Slower",ROUND(((Table1[Max. Ext Det''n]+Table1[Max. Int Det''n])-(Table1[National Det''n Rate]*(Table1[Year Recovered]-Table1[Year Installed])))/(Table1[National Det''n Rate]*(Table1[Year Recovered]-Table1[Year Installed])) *100,0) &amp;"% Faster"),"")</calculatedColumnFormula>
    </tableColumn>
    <tableColumn id="17" name="Estimate Pipe Life" dataDxfId="1">
      <calculatedColumnFormula>IFERROR((Table1[Min Wall Thickness (mm)]-(((Table1[Operating Pressure (m)]*Gravity/1000*Table1[Surge Factor])*Table1[Mean Pipe OD (mm)])/((2*Table1[MPa])+(Table1[Operating Pressure (m)]*Gravity/1000*Table1[Surge Factor]))))/((Table1[Max. Ext Det''n]+Table1[Max. Int Det''n])/(Table1[Year Recovered]-Table1[Year Installed])),"")</calculatedColumnFormula>
    </tableColumn>
    <tableColumn id="18" name="Est. Year of First Det'n Failure" dataDxfId="0">
      <calculatedColumnFormula>IFERROR(Table1[Estimate Pipe Life]+Table1[Year Installed],"")</calculatedColumnFormula>
    </tableColumn>
  </tableColumns>
  <tableStyleInfo name="CleanTable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V34"/>
  <sheetViews>
    <sheetView tabSelected="1" zoomScaleNormal="100" workbookViewId="0">
      <selection activeCell="U15" sqref="U15"/>
    </sheetView>
  </sheetViews>
  <sheetFormatPr defaultRowHeight="12.75" x14ac:dyDescent="0.2"/>
  <cols>
    <col min="1" max="1" width="12.5703125" style="6" customWidth="1"/>
    <col min="2" max="2" width="6.7109375" style="6" customWidth="1"/>
    <col min="3" max="3" width="6.5703125" style="6" customWidth="1"/>
    <col min="4" max="4" width="12.5703125" style="6" customWidth="1"/>
    <col min="5" max="5" width="30.28515625" style="6" customWidth="1"/>
    <col min="6" max="6" width="10" style="6" customWidth="1"/>
    <col min="7" max="7" width="11.42578125" style="6" customWidth="1"/>
    <col min="8" max="8" width="12.85546875" style="6" customWidth="1"/>
    <col min="9" max="9" width="11.5703125" style="6" customWidth="1"/>
    <col min="10" max="10" width="10" style="6" customWidth="1"/>
    <col min="11" max="11" width="9.85546875" style="6" customWidth="1"/>
    <col min="12" max="12" width="9.7109375" style="6" customWidth="1"/>
    <col min="13" max="14" width="9" style="6" customWidth="1"/>
    <col min="15" max="15" width="11.28515625" style="6" customWidth="1"/>
    <col min="16" max="16" width="10.5703125" style="6" customWidth="1"/>
    <col min="17" max="17" width="13.28515625" style="6" customWidth="1"/>
    <col min="18" max="18" width="10" style="6" customWidth="1"/>
    <col min="19" max="19" width="12.5703125" style="6" customWidth="1"/>
    <col min="20" max="20" width="3.140625" style="6" customWidth="1"/>
    <col min="21" max="21" width="14.85546875" style="6" customWidth="1"/>
    <col min="22" max="22" width="15.28515625" style="6" customWidth="1"/>
    <col min="23" max="25" width="9.140625" style="6"/>
    <col min="26" max="26" width="12.7109375" style="6" customWidth="1"/>
    <col min="27" max="16384" width="9.140625" style="6"/>
  </cols>
  <sheetData>
    <row r="1" spans="1:22" ht="18" x14ac:dyDescent="0.25">
      <c r="A1" s="5" t="s">
        <v>16</v>
      </c>
    </row>
    <row r="2" spans="1:22" ht="13.5" thickBot="1" x14ac:dyDescent="0.25"/>
    <row r="3" spans="1:22" ht="16.5" customHeight="1" thickBot="1" x14ac:dyDescent="0.25">
      <c r="A3" s="41" t="s">
        <v>18</v>
      </c>
      <c r="B3" s="42"/>
      <c r="C3" s="42"/>
      <c r="D3" s="43"/>
    </row>
    <row r="4" spans="1:22" ht="16.5" customHeight="1" x14ac:dyDescent="0.2">
      <c r="A4" s="26" t="s">
        <v>2</v>
      </c>
      <c r="B4" s="53">
        <v>0.2344</v>
      </c>
      <c r="C4" s="54"/>
      <c r="D4" s="55"/>
    </row>
    <row r="5" spans="1:22" ht="16.5" customHeight="1" x14ac:dyDescent="0.2">
      <c r="A5" s="27" t="s">
        <v>3</v>
      </c>
      <c r="B5" s="56">
        <v>0.34620000000000001</v>
      </c>
      <c r="C5" s="57"/>
      <c r="D5" s="58"/>
    </row>
    <row r="6" spans="1:22" ht="16.5" customHeight="1" thickBot="1" x14ac:dyDescent="0.25">
      <c r="A6" s="28" t="s">
        <v>19</v>
      </c>
      <c r="B6" s="59">
        <v>0.2344</v>
      </c>
      <c r="C6" s="60"/>
      <c r="D6" s="61"/>
    </row>
    <row r="7" spans="1:22" ht="15" x14ac:dyDescent="0.25">
      <c r="F7" s="44" t="s">
        <v>17</v>
      </c>
      <c r="G7" s="45"/>
      <c r="H7" s="45"/>
      <c r="I7" s="45"/>
      <c r="J7" s="45"/>
      <c r="K7" s="45"/>
      <c r="L7" s="46"/>
      <c r="M7" s="47" t="s">
        <v>7</v>
      </c>
      <c r="N7" s="48"/>
      <c r="O7" s="49"/>
      <c r="P7" s="50" t="s">
        <v>8</v>
      </c>
      <c r="Q7" s="51"/>
      <c r="R7" s="51"/>
      <c r="S7" s="52"/>
    </row>
    <row r="8" spans="1:22" s="22" customFormat="1" ht="43.5" customHeight="1" x14ac:dyDescent="0.25">
      <c r="A8" s="29" t="s">
        <v>0</v>
      </c>
      <c r="B8" s="39" t="s">
        <v>5</v>
      </c>
      <c r="C8" s="39" t="s">
        <v>10</v>
      </c>
      <c r="D8" s="39" t="s">
        <v>1</v>
      </c>
      <c r="E8" s="40" t="s">
        <v>9</v>
      </c>
      <c r="F8" s="30" t="s">
        <v>20</v>
      </c>
      <c r="G8" s="31" t="s">
        <v>43</v>
      </c>
      <c r="H8" s="31" t="s">
        <v>21</v>
      </c>
      <c r="I8" s="31" t="s">
        <v>22</v>
      </c>
      <c r="J8" s="31" t="s">
        <v>23</v>
      </c>
      <c r="K8" s="31" t="s">
        <v>44</v>
      </c>
      <c r="L8" s="31" t="s">
        <v>45</v>
      </c>
      <c r="M8" s="32" t="s">
        <v>6</v>
      </c>
      <c r="N8" s="33" t="s">
        <v>4</v>
      </c>
      <c r="O8" s="34" t="s">
        <v>24</v>
      </c>
      <c r="P8" s="35" t="s">
        <v>25</v>
      </c>
      <c r="Q8" s="36" t="s">
        <v>46</v>
      </c>
      <c r="R8" s="36" t="s">
        <v>42</v>
      </c>
      <c r="S8" s="37" t="s">
        <v>26</v>
      </c>
    </row>
    <row r="9" spans="1:22" s="22" customFormat="1" x14ac:dyDescent="0.25">
      <c r="A9" s="7" t="s">
        <v>27</v>
      </c>
      <c r="B9" s="8">
        <v>100</v>
      </c>
      <c r="C9" s="7" t="s">
        <v>33</v>
      </c>
      <c r="D9" s="7" t="s">
        <v>2</v>
      </c>
      <c r="E9" s="38" t="s">
        <v>36</v>
      </c>
      <c r="F9" s="11">
        <v>1958</v>
      </c>
      <c r="G9" s="12">
        <v>2016</v>
      </c>
      <c r="H9" s="13">
        <v>65</v>
      </c>
      <c r="I9" s="13">
        <v>126</v>
      </c>
      <c r="J9" s="13">
        <v>14.7</v>
      </c>
      <c r="K9" s="13">
        <v>2.9</v>
      </c>
      <c r="L9" s="14">
        <v>8.1999999999999993</v>
      </c>
      <c r="M9" s="15">
        <f>IF(Table1[[#This Row],[Year Installed]]="","",VLOOKUP(Table1[Year Installed],MPaRatings,2,TRUE))</f>
        <v>15.5</v>
      </c>
      <c r="N9" s="16">
        <f>IF(Table1[[#This Row],[Year Installed]]="","",SF)</f>
        <v>1.5</v>
      </c>
      <c r="O9" s="17">
        <f>_xlfn.IFNA(VLOOKUP(Table1[Use],DetnRates,2,FALSE),"")</f>
        <v>0.2344</v>
      </c>
      <c r="P9" s="18">
        <f>IFERROR((Table1[Max. Ext Det''n]+Table1[Max. Int Det''n])/(Table1[Year Recovered]-Table1[Year Installed]),"")</f>
        <v>0.19137931034482758</v>
      </c>
      <c r="Q9" s="19" t="str">
        <f>IFERROR(IF( ((Table1[Max. Ext Det''n]+Table1[Max. Int Det''n])-(Table1[National Det''n Rate]*(Table1[Year Recovered]-Table1[Year Installed])))/(Table1[National Det''n Rate]*(Table1[Year Recovered]-Table1[Year Installed])) &lt; 0, ROUND(((Table1[Max. Ext Det''n]+Table1[Max. Int Det''n])-(Table1[National Det''n Rate]*(Table1[Year Recovered]-Table1[Year Installed])))/(Table1[National Det''n Rate]*(Table1[Year Recovered]-Table1[Year Installed])) *-100,0) &amp;"% Slower",ROUND(((Table1[Max. Ext Det''n]+Table1[Max. Int Det''n])-(Table1[National Det''n Rate]*(Table1[Year Recovered]-Table1[Year Installed])))/(Table1[National Det''n Rate]*(Table1[Year Recovered]-Table1[Year Installed])) *100,0) &amp;"% Faster"),"")</f>
        <v>18% Slower</v>
      </c>
      <c r="R9" s="20">
        <f>IFERROR((Table1[Min Wall Thickness (mm)]-(((Table1[Operating Pressure (m)]*Gravity/1000*Table1[Surge Factor])*Table1[Mean Pipe OD (mm)])/((2*Table1[MPa])+(Table1[Operating Pressure (m)]*Gravity/1000*Table1[Surge Factor]))))/((Table1[Max. Ext Det''n]+Table1[Max. Int Det''n])/(Table1[Year Recovered]-Table1[Year Installed])),"")</f>
        <v>57.146104574727261</v>
      </c>
      <c r="S9" s="21">
        <f>IFERROR(Table1[Estimate Pipe Life]+Table1[Year Installed],"")</f>
        <v>2015.1461045747274</v>
      </c>
    </row>
    <row r="10" spans="1:22" s="22" customFormat="1" x14ac:dyDescent="0.2">
      <c r="A10" s="7" t="s">
        <v>28</v>
      </c>
      <c r="B10" s="8">
        <v>150</v>
      </c>
      <c r="C10" s="7" t="s">
        <v>33</v>
      </c>
      <c r="D10" s="7" t="s">
        <v>2</v>
      </c>
      <c r="E10" s="38" t="s">
        <v>37</v>
      </c>
      <c r="F10" s="11">
        <v>1984</v>
      </c>
      <c r="G10" s="12">
        <v>2016</v>
      </c>
      <c r="H10" s="13">
        <v>42</v>
      </c>
      <c r="I10" s="13">
        <v>179.7</v>
      </c>
      <c r="J10" s="13">
        <v>15.8</v>
      </c>
      <c r="K10" s="13">
        <v>3.7</v>
      </c>
      <c r="L10" s="14">
        <v>4.8</v>
      </c>
      <c r="M10" s="15">
        <f>IF(Table1[[#This Row],[Year Installed]]="","",VLOOKUP(Table1[Year Installed],MPaRatings,2,TRUE))</f>
        <v>23.5</v>
      </c>
      <c r="N10" s="16">
        <f>IF(Table1[[#This Row],[Year Installed]]="","",SF)</f>
        <v>1.5</v>
      </c>
      <c r="O10" s="17">
        <f>_xlfn.IFNA(VLOOKUP(Table1[Use],DetnRates,2,FALSE),"")</f>
        <v>0.2344</v>
      </c>
      <c r="P10" s="18">
        <f>IFERROR((Table1[Max. Ext Det''n]+Table1[Max. Int Det''n])/(Table1[Year Recovered]-Table1[Year Installed]),"")</f>
        <v>0.265625</v>
      </c>
      <c r="Q10" s="23" t="str">
        <f>IFERROR(IF( ((Table1[Max. Ext Det''n]+Table1[Max. Int Det''n])-(Table1[National Det''n Rate]*(Table1[Year Recovered]-Table1[Year Installed])))/(Table1[National Det''n Rate]*(Table1[Year Recovered]-Table1[Year Installed])) &lt; 0, ROUND(((Table1[Max. Ext Det''n]+Table1[Max. Int Det''n])-(Table1[National Det''n Rate]*(Table1[Year Recovered]-Table1[Year Installed])))/(Table1[National Det''n Rate]*(Table1[Year Recovered]-Table1[Year Installed])) *-100,0) &amp;"% Slower",ROUND(((Table1[Max. Ext Det''n]+Table1[Max. Int Det''n])-(Table1[National Det''n Rate]*(Table1[Year Recovered]-Table1[Year Installed])))/(Table1[National Det''n Rate]*(Table1[Year Recovered]-Table1[Year Installed])) *100,0) &amp;"% Faster"),"")</f>
        <v>13% Faster</v>
      </c>
      <c r="R10" s="20">
        <f>IFERROR((Table1[Min Wall Thickness (mm)]-(((Table1[Operating Pressure (m)]*Gravity/1000*Table1[Surge Factor])*Table1[Mean Pipe OD (mm)])/((2*Table1[MPa])+(Table1[Operating Pressure (m)]*Gravity/1000*Table1[Surge Factor]))))/((Table1[Max. Ext Det''n]+Table1[Max. Int Det''n])/(Table1[Year Recovered]-Table1[Year Installed])),"")</f>
        <v>50.720445727292365</v>
      </c>
      <c r="S10" s="21">
        <f>IFERROR(Table1[Estimate Pipe Life]+Table1[Year Installed],"")</f>
        <v>2034.7204457272924</v>
      </c>
      <c r="U10" s="6"/>
      <c r="V10" s="6"/>
    </row>
    <row r="11" spans="1:22" s="22" customFormat="1" x14ac:dyDescent="0.25">
      <c r="A11" s="7" t="s">
        <v>29</v>
      </c>
      <c r="B11" s="8">
        <v>200</v>
      </c>
      <c r="C11" s="7" t="s">
        <v>33</v>
      </c>
      <c r="D11" s="7" t="s">
        <v>2</v>
      </c>
      <c r="E11" s="38" t="s">
        <v>38</v>
      </c>
      <c r="F11" s="11">
        <v>1963</v>
      </c>
      <c r="G11" s="12">
        <v>2016</v>
      </c>
      <c r="H11" s="13">
        <v>61</v>
      </c>
      <c r="I11" s="13">
        <v>234.5</v>
      </c>
      <c r="J11" s="13">
        <v>19.600000000000001</v>
      </c>
      <c r="K11" s="13">
        <v>4.3</v>
      </c>
      <c r="L11" s="14">
        <v>7.2</v>
      </c>
      <c r="M11" s="15">
        <f>IF(Table1[[#This Row],[Year Installed]]="","",VLOOKUP(Table1[Year Installed],MPaRatings,2,TRUE))</f>
        <v>22.1</v>
      </c>
      <c r="N11" s="16">
        <f>IF(Table1[[#This Row],[Year Installed]]="","",SF)</f>
        <v>1.5</v>
      </c>
      <c r="O11" s="17">
        <f>_xlfn.IFNA(VLOOKUP(Table1[Use],DetnRates,2,FALSE),"")</f>
        <v>0.2344</v>
      </c>
      <c r="P11" s="18">
        <f>IFERROR((Table1[Max. Ext Det''n]+Table1[Max. Int Det''n])/(Table1[Year Recovered]-Table1[Year Installed]),"")</f>
        <v>0.21698113207547171</v>
      </c>
      <c r="Q11" s="23" t="str">
        <f>IFERROR(IF( ((Table1[Max. Ext Det''n]+Table1[Max. Int Det''n])-(Table1[National Det''n Rate]*(Table1[Year Recovered]-Table1[Year Installed])))/(Table1[National Det''n Rate]*(Table1[Year Recovered]-Table1[Year Installed])) &lt; 0, ROUND(((Table1[Max. Ext Det''n]+Table1[Max. Int Det''n])-(Table1[National Det''n Rate]*(Table1[Year Recovered]-Table1[Year Installed])))/(Table1[National Det''n Rate]*(Table1[Year Recovered]-Table1[Year Installed])) *-100,0) &amp;"% Slower",ROUND(((Table1[Max. Ext Det''n]+Table1[Max. Int Det''n])-(Table1[National Det''n Rate]*(Table1[Year Recovered]-Table1[Year Installed])))/(Table1[National Det''n Rate]*(Table1[Year Recovered]-Table1[Year Installed])) *100,0) &amp;"% Faster"),"")</f>
        <v>7% Slower</v>
      </c>
      <c r="R11" s="20">
        <f>IFERROR((Table1[Min Wall Thickness (mm)]-(((Table1[Operating Pressure (m)]*Gravity/1000*Table1[Surge Factor])*Table1[Mean Pipe OD (mm)])/((2*Table1[MPa])+(Table1[Operating Pressure (m)]*Gravity/1000*Table1[Surge Factor]))))/((Table1[Max. Ext Det''n]+Table1[Max. Int Det''n])/(Table1[Year Recovered]-Table1[Year Installed])),"")</f>
        <v>68.864726214980465</v>
      </c>
      <c r="S11" s="21">
        <f>IFERROR(Table1[Estimate Pipe Life]+Table1[Year Installed],"")</f>
        <v>2031.8647262149805</v>
      </c>
    </row>
    <row r="12" spans="1:22" s="22" customFormat="1" x14ac:dyDescent="0.25">
      <c r="A12" s="7" t="s">
        <v>30</v>
      </c>
      <c r="B12" s="8">
        <v>100</v>
      </c>
      <c r="C12" s="7" t="s">
        <v>34</v>
      </c>
      <c r="D12" s="7" t="s">
        <v>3</v>
      </c>
      <c r="E12" s="38" t="s">
        <v>39</v>
      </c>
      <c r="F12" s="11">
        <v>1954</v>
      </c>
      <c r="G12" s="12">
        <v>2016</v>
      </c>
      <c r="H12" s="13">
        <v>15</v>
      </c>
      <c r="I12" s="13">
        <v>130.1</v>
      </c>
      <c r="J12" s="13">
        <v>20.100000000000001</v>
      </c>
      <c r="K12" s="13">
        <v>6.2</v>
      </c>
      <c r="L12" s="14">
        <v>11.3</v>
      </c>
      <c r="M12" s="15">
        <f>IF(Table1[[#This Row],[Year Installed]]="","",VLOOKUP(Table1[Year Installed],MPaRatings,2,TRUE))</f>
        <v>15.5</v>
      </c>
      <c r="N12" s="16">
        <f>IF(Table1[[#This Row],[Year Installed]]="","",SF)</f>
        <v>1.5</v>
      </c>
      <c r="O12" s="17">
        <f>_xlfn.IFNA(VLOOKUP(Table1[Use],DetnRates,2,FALSE),"")</f>
        <v>0.34620000000000001</v>
      </c>
      <c r="P12" s="18">
        <f>IFERROR((Table1[Max. Ext Det''n]+Table1[Max. Int Det''n])/(Table1[Year Recovered]-Table1[Year Installed]),"")</f>
        <v>0.28225806451612906</v>
      </c>
      <c r="Q12" s="23" t="str">
        <f>IFERROR(IF( ((Table1[Max. Ext Det''n]+Table1[Max. Int Det''n])-(Table1[National Det''n Rate]*(Table1[Year Recovered]-Table1[Year Installed])))/(Table1[National Det''n Rate]*(Table1[Year Recovered]-Table1[Year Installed])) &lt; 0, ROUND(((Table1[Max. Ext Det''n]+Table1[Max. Int Det''n])-(Table1[National Det''n Rate]*(Table1[Year Recovered]-Table1[Year Installed])))/(Table1[National Det''n Rate]*(Table1[Year Recovered]-Table1[Year Installed])) *-100,0) &amp;"% Slower",ROUND(((Table1[Max. Ext Det''n]+Table1[Max. Int Det''n])-(Table1[National Det''n Rate]*(Table1[Year Recovered]-Table1[Year Installed])))/(Table1[National Det''n Rate]*(Table1[Year Recovered]-Table1[Year Installed])) *100,0) &amp;"% Faster"),"")</f>
        <v>18% Slower</v>
      </c>
      <c r="R12" s="20">
        <f>IFERROR((Table1[Min Wall Thickness (mm)]-(((Table1[Operating Pressure (m)]*Gravity/1000*Table1[Surge Factor])*Table1[Mean Pipe OD (mm)])/((2*Table1[MPa])+(Table1[Operating Pressure (m)]*Gravity/1000*Table1[Surge Factor]))))/((Table1[Max. Ext Det''n]+Table1[Max. Int Det''n])/(Table1[Year Recovered]-Table1[Year Installed])),"")</f>
        <v>67.959691869884779</v>
      </c>
      <c r="S12" s="21">
        <f>IFERROR(Table1[Estimate Pipe Life]+Table1[Year Installed],"")</f>
        <v>2021.9596918698849</v>
      </c>
    </row>
    <row r="13" spans="1:22" s="22" customFormat="1" x14ac:dyDescent="0.25">
      <c r="A13" s="7" t="s">
        <v>31</v>
      </c>
      <c r="B13" s="8">
        <v>225</v>
      </c>
      <c r="C13" s="7" t="s">
        <v>35</v>
      </c>
      <c r="D13" s="7" t="s">
        <v>3</v>
      </c>
      <c r="E13" s="38" t="s">
        <v>40</v>
      </c>
      <c r="F13" s="11">
        <v>1962</v>
      </c>
      <c r="G13" s="12">
        <v>2016</v>
      </c>
      <c r="H13" s="13">
        <v>6</v>
      </c>
      <c r="I13" s="13">
        <v>262.8</v>
      </c>
      <c r="J13" s="13">
        <v>16.5</v>
      </c>
      <c r="K13" s="13">
        <v>3.5</v>
      </c>
      <c r="L13" s="14">
        <v>6.4</v>
      </c>
      <c r="M13" s="15">
        <f>IF(Table1[[#This Row],[Year Installed]]="","",VLOOKUP(Table1[Year Installed],MPaRatings,2,TRUE))</f>
        <v>22.1</v>
      </c>
      <c r="N13" s="16">
        <f>IF(Table1[[#This Row],[Year Installed]]="","",SF)</f>
        <v>1.5</v>
      </c>
      <c r="O13" s="17">
        <f>_xlfn.IFNA(VLOOKUP(Table1[Use],DetnRates,2,FALSE),"")</f>
        <v>0.34620000000000001</v>
      </c>
      <c r="P13" s="18">
        <f>IFERROR((Table1[Max. Ext Det''n]+Table1[Max. Int Det''n])/(Table1[Year Recovered]-Table1[Year Installed]),"")</f>
        <v>0.18333333333333335</v>
      </c>
      <c r="Q13" s="23" t="str">
        <f>IFERROR(IF( ((Table1[Max. Ext Det''n]+Table1[Max. Int Det''n])-(Table1[National Det''n Rate]*(Table1[Year Recovered]-Table1[Year Installed])))/(Table1[National Det''n Rate]*(Table1[Year Recovered]-Table1[Year Installed])) &lt; 0, ROUND(((Table1[Max. Ext Det''n]+Table1[Max. Int Det''n])-(Table1[National Det''n Rate]*(Table1[Year Recovered]-Table1[Year Installed])))/(Table1[National Det''n Rate]*(Table1[Year Recovered]-Table1[Year Installed])) *-100,0) &amp;"% Slower",ROUND(((Table1[Max. Ext Det''n]+Table1[Max. Int Det''n])-(Table1[National Det''n Rate]*(Table1[Year Recovered]-Table1[Year Installed])))/(Table1[National Det''n Rate]*(Table1[Year Recovered]-Table1[Year Installed])) *100,0) &amp;"% Faster"),"")</f>
        <v>47% Slower</v>
      </c>
      <c r="R13" s="20">
        <f>IFERROR((Table1[Min Wall Thickness (mm)]-(((Table1[Operating Pressure (m)]*Gravity/1000*Table1[Surge Factor])*Table1[Mean Pipe OD (mm)])/((2*Table1[MPa])+(Table1[Operating Pressure (m)]*Gravity/1000*Table1[Surge Factor]))))/((Table1[Max. Ext Det''n]+Table1[Max. Int Det''n])/(Table1[Year Recovered]-Table1[Year Installed])),"")</f>
        <v>87.148471574586338</v>
      </c>
      <c r="S13" s="21">
        <f>IFERROR(Table1[Estimate Pipe Life]+Table1[Year Installed],"")</f>
        <v>2049.1484715745864</v>
      </c>
    </row>
    <row r="14" spans="1:22" s="22" customFormat="1" x14ac:dyDescent="0.25">
      <c r="A14" s="7" t="s">
        <v>32</v>
      </c>
      <c r="B14" s="8">
        <v>375</v>
      </c>
      <c r="C14" s="7" t="s">
        <v>35</v>
      </c>
      <c r="D14" s="7" t="s">
        <v>3</v>
      </c>
      <c r="E14" s="38" t="s">
        <v>41</v>
      </c>
      <c r="F14" s="11">
        <v>1987</v>
      </c>
      <c r="G14" s="12">
        <v>2016</v>
      </c>
      <c r="H14" s="13">
        <v>50</v>
      </c>
      <c r="I14" s="13">
        <v>417.4</v>
      </c>
      <c r="J14" s="13">
        <v>23.5</v>
      </c>
      <c r="K14" s="13">
        <v>4.0999999999999996</v>
      </c>
      <c r="L14" s="14">
        <v>5.7</v>
      </c>
      <c r="M14" s="15">
        <f>IF(Table1[[#This Row],[Year Installed]]="","",VLOOKUP(Table1[Year Installed],MPaRatings,2,TRUE))</f>
        <v>23.5</v>
      </c>
      <c r="N14" s="16">
        <f>IF(Table1[[#This Row],[Year Installed]]="","",SF)</f>
        <v>1.5</v>
      </c>
      <c r="O14" s="17">
        <f>_xlfn.IFNA(VLOOKUP(Table1[Use],DetnRates,2,FALSE),"")</f>
        <v>0.34620000000000001</v>
      </c>
      <c r="P14" s="18">
        <f>IFERROR((Table1[Max. Ext Det''n]+Table1[Max. Int Det''n])/(Table1[Year Recovered]-Table1[Year Installed]),"")</f>
        <v>0.33793103448275863</v>
      </c>
      <c r="Q14" s="23" t="str">
        <f>IFERROR(IF( ((Table1[Max. Ext Det''n]+Table1[Max. Int Det''n])-(Table1[National Det''n Rate]*(Table1[Year Recovered]-Table1[Year Installed])))/(Table1[National Det''n Rate]*(Table1[Year Recovered]-Table1[Year Installed])) &lt; 0, ROUND(((Table1[Max. Ext Det''n]+Table1[Max. Int Det''n])-(Table1[National Det''n Rate]*(Table1[Year Recovered]-Table1[Year Installed])))/(Table1[National Det''n Rate]*(Table1[Year Recovered]-Table1[Year Installed])) *-100,0) &amp;"% Slower",ROUND(((Table1[Max. Ext Det''n]+Table1[Max. Int Det''n])-(Table1[National Det''n Rate]*(Table1[Year Recovered]-Table1[Year Installed])))/(Table1[National Det''n Rate]*(Table1[Year Recovered]-Table1[Year Installed])) *100,0) &amp;"% Faster"),"")</f>
        <v>2% Slower</v>
      </c>
      <c r="R14" s="20">
        <f>IFERROR((Table1[Min Wall Thickness (mm)]-(((Table1[Operating Pressure (m)]*Gravity/1000*Table1[Surge Factor])*Table1[Mean Pipe OD (mm)])/((2*Table1[MPa])+(Table1[Operating Pressure (m)]*Gravity/1000*Table1[Surge Factor]))))/((Table1[Max. Ext Det''n]+Table1[Max. Int Det''n])/(Table1[Year Recovered]-Table1[Year Installed])),"")</f>
        <v>50.543400108357318</v>
      </c>
      <c r="S14" s="21">
        <f>IFERROR(Table1[Estimate Pipe Life]+Table1[Year Installed],"")</f>
        <v>2037.5434001083572</v>
      </c>
    </row>
    <row r="15" spans="1:22" s="22" customFormat="1" x14ac:dyDescent="0.25">
      <c r="A15" s="7"/>
      <c r="B15" s="8"/>
      <c r="C15" s="7"/>
      <c r="D15" s="7"/>
      <c r="E15" s="38"/>
      <c r="F15" s="11"/>
      <c r="G15" s="12"/>
      <c r="H15" s="13"/>
      <c r="I15" s="13"/>
      <c r="J15" s="13"/>
      <c r="K15" s="13"/>
      <c r="L15" s="14"/>
      <c r="M15" s="15" t="str">
        <f>IF(Table1[[#This Row],[Year Installed]]="","",VLOOKUP(Table1[Year Installed],MPaRatings,2,TRUE))</f>
        <v/>
      </c>
      <c r="N15" s="16" t="str">
        <f>IF(Table1[[#This Row],[Year Installed]]="","",SF)</f>
        <v/>
      </c>
      <c r="O15" s="17" t="str">
        <f>_xlfn.IFNA(VLOOKUP(Table1[Use],DetnRates,2,FALSE),"")</f>
        <v/>
      </c>
      <c r="P15" s="18" t="str">
        <f>IFERROR((Table1[Max. Ext Det''n]+Table1[Max. Int Det''n])/(Table1[Year Recovered]-Table1[Year Installed]),"")</f>
        <v/>
      </c>
      <c r="Q15" s="23" t="str">
        <f>IFERROR(IF( ((Table1[Max. Ext Det''n]+Table1[Max. Int Det''n])-(Table1[National Det''n Rate]*(Table1[Year Recovered]-Table1[Year Installed])))/(Table1[National Det''n Rate]*(Table1[Year Recovered]-Table1[Year Installed])) &lt; 0, ROUND(((Table1[Max. Ext Det''n]+Table1[Max. Int Det''n])-(Table1[National Det''n Rate]*(Table1[Year Recovered]-Table1[Year Installed])))/(Table1[National Det''n Rate]*(Table1[Year Recovered]-Table1[Year Installed])) *-100,0) &amp;"% Slower",ROUND(((Table1[Max. Ext Det''n]+Table1[Max. Int Det''n])-(Table1[National Det''n Rate]*(Table1[Year Recovered]-Table1[Year Installed])))/(Table1[National Det''n Rate]*(Table1[Year Recovered]-Table1[Year Installed])) *100,0) &amp;"% Faster"),"")</f>
        <v/>
      </c>
      <c r="R15" s="20" t="str">
        <f>IFERROR((Table1[Min Wall Thickness (mm)]-(((Table1[Operating Pressure (m)]*Gravity/1000*Table1[Surge Factor])*Table1[Mean Pipe OD (mm)])/((2*Table1[MPa])+(Table1[Operating Pressure (m)]*Gravity/1000*Table1[Surge Factor]))))/((Table1[Max. Ext Det''n]+Table1[Max. Int Det''n])/(Table1[Year Recovered]-Table1[Year Installed])),"")</f>
        <v/>
      </c>
      <c r="S15" s="21" t="str">
        <f>IFERROR(Table1[Estimate Pipe Life]+Table1[Year Installed],"")</f>
        <v/>
      </c>
    </row>
    <row r="16" spans="1:22" s="22" customFormat="1" x14ac:dyDescent="0.25">
      <c r="A16" s="7"/>
      <c r="B16" s="8"/>
      <c r="C16" s="7"/>
      <c r="D16" s="7"/>
      <c r="E16" s="38"/>
      <c r="F16" s="11"/>
      <c r="G16" s="12"/>
      <c r="H16" s="13"/>
      <c r="I16" s="13"/>
      <c r="J16" s="13"/>
      <c r="K16" s="13"/>
      <c r="L16" s="14"/>
      <c r="M16" s="15" t="str">
        <f>IF(Table1[[#This Row],[Year Installed]]="","",VLOOKUP(Table1[Year Installed],MPaRatings,2,TRUE))</f>
        <v/>
      </c>
      <c r="N16" s="16" t="str">
        <f>IF(Table1[[#This Row],[Year Installed]]="","",SF)</f>
        <v/>
      </c>
      <c r="O16" s="17" t="str">
        <f>_xlfn.IFNA(VLOOKUP(Table1[Use],DetnRates,2,FALSE),"")</f>
        <v/>
      </c>
      <c r="P16" s="18" t="str">
        <f>IFERROR((Table1[Max. Ext Det''n]+Table1[Max. Int Det''n])/(Table1[Year Recovered]-Table1[Year Installed]),"")</f>
        <v/>
      </c>
      <c r="Q16" s="23" t="str">
        <f>IFERROR(IF( ((Table1[Max. Ext Det''n]+Table1[Max. Int Det''n])-(Table1[National Det''n Rate]*(Table1[Year Recovered]-Table1[Year Installed])))/(Table1[National Det''n Rate]*(Table1[Year Recovered]-Table1[Year Installed])) &lt; 0, ROUND(((Table1[Max. Ext Det''n]+Table1[Max. Int Det''n])-(Table1[National Det''n Rate]*(Table1[Year Recovered]-Table1[Year Installed])))/(Table1[National Det''n Rate]*(Table1[Year Recovered]-Table1[Year Installed])) *-100,0) &amp;"% Slower",ROUND(((Table1[Max. Ext Det''n]+Table1[Max. Int Det''n])-(Table1[National Det''n Rate]*(Table1[Year Recovered]-Table1[Year Installed])))/(Table1[National Det''n Rate]*(Table1[Year Recovered]-Table1[Year Installed])) *100,0) &amp;"% Faster"),"")</f>
        <v/>
      </c>
      <c r="R16" s="20" t="str">
        <f>IFERROR((Table1[Min Wall Thickness (mm)]-(((Table1[Operating Pressure (m)]*Gravity/1000*Table1[Surge Factor])*Table1[Mean Pipe OD (mm)])/((2*Table1[MPa])+(Table1[Operating Pressure (m)]*Gravity/1000*Table1[Surge Factor]))))/((Table1[Max. Ext Det''n]+Table1[Max. Int Det''n])/(Table1[Year Recovered]-Table1[Year Installed])),"")</f>
        <v/>
      </c>
      <c r="S16" s="21" t="str">
        <f>IFERROR(Table1[Estimate Pipe Life]+Table1[Year Installed],"")</f>
        <v/>
      </c>
    </row>
    <row r="17" spans="1:19" s="22" customFormat="1" x14ac:dyDescent="0.25">
      <c r="A17" s="7"/>
      <c r="B17" s="8"/>
      <c r="C17" s="7"/>
      <c r="D17" s="7"/>
      <c r="E17" s="38"/>
      <c r="F17" s="11"/>
      <c r="G17" s="12"/>
      <c r="H17" s="13"/>
      <c r="I17" s="13"/>
      <c r="J17" s="13"/>
      <c r="K17" s="13"/>
      <c r="L17" s="14"/>
      <c r="M17" s="15" t="str">
        <f>IF(Table1[[#This Row],[Year Installed]]="","",VLOOKUP(Table1[Year Installed],MPaRatings,2,TRUE))</f>
        <v/>
      </c>
      <c r="N17" s="16" t="str">
        <f>IF(Table1[[#This Row],[Year Installed]]="","",SF)</f>
        <v/>
      </c>
      <c r="O17" s="17" t="str">
        <f>_xlfn.IFNA(VLOOKUP(Table1[Use],DetnRates,2,FALSE),"")</f>
        <v/>
      </c>
      <c r="P17" s="18" t="str">
        <f>IFERROR((Table1[Max. Ext Det''n]+Table1[Max. Int Det''n])/(Table1[Year Recovered]-Table1[Year Installed]),"")</f>
        <v/>
      </c>
      <c r="Q17" s="23" t="str">
        <f>IFERROR(IF( ((Table1[Max. Ext Det''n]+Table1[Max. Int Det''n])-(Table1[National Det''n Rate]*(Table1[Year Recovered]-Table1[Year Installed])))/(Table1[National Det''n Rate]*(Table1[Year Recovered]-Table1[Year Installed])) &lt; 0, ROUND(((Table1[Max. Ext Det''n]+Table1[Max. Int Det''n])-(Table1[National Det''n Rate]*(Table1[Year Recovered]-Table1[Year Installed])))/(Table1[National Det''n Rate]*(Table1[Year Recovered]-Table1[Year Installed])) *-100,0) &amp;"% Slower",ROUND(((Table1[Max. Ext Det''n]+Table1[Max. Int Det''n])-(Table1[National Det''n Rate]*(Table1[Year Recovered]-Table1[Year Installed])))/(Table1[National Det''n Rate]*(Table1[Year Recovered]-Table1[Year Installed])) *100,0) &amp;"% Faster"),"")</f>
        <v/>
      </c>
      <c r="R17" s="20" t="str">
        <f>IFERROR((Table1[Min Wall Thickness (mm)]-(((Table1[Operating Pressure (m)]*Gravity/1000*Table1[Surge Factor])*Table1[Mean Pipe OD (mm)])/((2*Table1[MPa])+(Table1[Operating Pressure (m)]*Gravity/1000*Table1[Surge Factor]))))/((Table1[Max. Ext Det''n]+Table1[Max. Int Det''n])/(Table1[Year Recovered]-Table1[Year Installed])),"")</f>
        <v/>
      </c>
      <c r="S17" s="21" t="str">
        <f>IFERROR(Table1[Estimate Pipe Life]+Table1[Year Installed],"")</f>
        <v/>
      </c>
    </row>
    <row r="18" spans="1:19" s="22" customFormat="1" x14ac:dyDescent="0.25">
      <c r="A18" s="7"/>
      <c r="B18" s="8"/>
      <c r="C18" s="7"/>
      <c r="D18" s="7"/>
      <c r="E18" s="38"/>
      <c r="F18" s="11"/>
      <c r="G18" s="12"/>
      <c r="H18" s="13"/>
      <c r="I18" s="13"/>
      <c r="J18" s="13"/>
      <c r="K18" s="13"/>
      <c r="L18" s="14"/>
      <c r="M18" s="15" t="str">
        <f>IF(Table1[[#This Row],[Year Installed]]="","",VLOOKUP(Table1[Year Installed],MPaRatings,2,TRUE))</f>
        <v/>
      </c>
      <c r="N18" s="16" t="str">
        <f>IF(Table1[[#This Row],[Year Installed]]="","",SF)</f>
        <v/>
      </c>
      <c r="O18" s="17" t="str">
        <f>_xlfn.IFNA(VLOOKUP(Table1[Use],DetnRates,2,FALSE),"")</f>
        <v/>
      </c>
      <c r="P18" s="18" t="str">
        <f>IFERROR((Table1[Max. Ext Det''n]+Table1[Max. Int Det''n])/(Table1[Year Recovered]-Table1[Year Installed]),"")</f>
        <v/>
      </c>
      <c r="Q18" s="23" t="str">
        <f>IFERROR(IF( ((Table1[Max. Ext Det''n]+Table1[Max. Int Det''n])-(Table1[National Det''n Rate]*(Table1[Year Recovered]-Table1[Year Installed])))/(Table1[National Det''n Rate]*(Table1[Year Recovered]-Table1[Year Installed])) &lt; 0, ROUND(((Table1[Max. Ext Det''n]+Table1[Max. Int Det''n])-(Table1[National Det''n Rate]*(Table1[Year Recovered]-Table1[Year Installed])))/(Table1[National Det''n Rate]*(Table1[Year Recovered]-Table1[Year Installed])) *-100,0) &amp;"% Slower",ROUND(((Table1[Max. Ext Det''n]+Table1[Max. Int Det''n])-(Table1[National Det''n Rate]*(Table1[Year Recovered]-Table1[Year Installed])))/(Table1[National Det''n Rate]*(Table1[Year Recovered]-Table1[Year Installed])) *100,0) &amp;"% Faster"),"")</f>
        <v/>
      </c>
      <c r="R18" s="20" t="str">
        <f>IFERROR((Table1[Min Wall Thickness (mm)]-(((Table1[Operating Pressure (m)]*Gravity/1000*Table1[Surge Factor])*Table1[Mean Pipe OD (mm)])/((2*Table1[MPa])+(Table1[Operating Pressure (m)]*Gravity/1000*Table1[Surge Factor]))))/((Table1[Max. Ext Det''n]+Table1[Max. Int Det''n])/(Table1[Year Recovered]-Table1[Year Installed])),"")</f>
        <v/>
      </c>
      <c r="S18" s="21" t="str">
        <f>IFERROR(Table1[Estimate Pipe Life]+Table1[Year Installed],"")</f>
        <v/>
      </c>
    </row>
    <row r="19" spans="1:19" s="22" customFormat="1" x14ac:dyDescent="0.25">
      <c r="A19" s="7"/>
      <c r="B19" s="8"/>
      <c r="C19" s="7"/>
      <c r="D19" s="7"/>
      <c r="E19" s="38"/>
      <c r="F19" s="11"/>
      <c r="G19" s="12"/>
      <c r="H19" s="13"/>
      <c r="I19" s="13"/>
      <c r="J19" s="13"/>
      <c r="K19" s="13"/>
      <c r="L19" s="14"/>
      <c r="M19" s="15" t="str">
        <f>IF(Table1[[#This Row],[Year Installed]]="","",VLOOKUP(Table1[Year Installed],MPaRatings,2,TRUE))</f>
        <v/>
      </c>
      <c r="N19" s="16" t="str">
        <f>IF(Table1[[#This Row],[Year Installed]]="","",SF)</f>
        <v/>
      </c>
      <c r="O19" s="17" t="str">
        <f>_xlfn.IFNA(VLOOKUP(Table1[Use],DetnRates,2,FALSE),"")</f>
        <v/>
      </c>
      <c r="P19" s="18" t="str">
        <f>IFERROR((Table1[Max. Ext Det''n]+Table1[Max. Int Det''n])/(Table1[Year Recovered]-Table1[Year Installed]),"")</f>
        <v/>
      </c>
      <c r="Q19" s="23" t="str">
        <f>IFERROR(IF( ((Table1[Max. Ext Det''n]+Table1[Max. Int Det''n])-(Table1[National Det''n Rate]*(Table1[Year Recovered]-Table1[Year Installed])))/(Table1[National Det''n Rate]*(Table1[Year Recovered]-Table1[Year Installed])) &lt; 0, ROUND(((Table1[Max. Ext Det''n]+Table1[Max. Int Det''n])-(Table1[National Det''n Rate]*(Table1[Year Recovered]-Table1[Year Installed])))/(Table1[National Det''n Rate]*(Table1[Year Recovered]-Table1[Year Installed])) *-100,0) &amp;"% Slower",ROUND(((Table1[Max. Ext Det''n]+Table1[Max. Int Det''n])-(Table1[National Det''n Rate]*(Table1[Year Recovered]-Table1[Year Installed])))/(Table1[National Det''n Rate]*(Table1[Year Recovered]-Table1[Year Installed])) *100,0) &amp;"% Faster"),"")</f>
        <v/>
      </c>
      <c r="R19" s="20" t="str">
        <f>IFERROR((Table1[Min Wall Thickness (mm)]-(((Table1[Operating Pressure (m)]*Gravity/1000*Table1[Surge Factor])*Table1[Mean Pipe OD (mm)])/((2*Table1[MPa])+(Table1[Operating Pressure (m)]*Gravity/1000*Table1[Surge Factor]))))/((Table1[Max. Ext Det''n]+Table1[Max. Int Det''n])/(Table1[Year Recovered]-Table1[Year Installed])),"")</f>
        <v/>
      </c>
      <c r="S19" s="21" t="str">
        <f>IFERROR(Table1[Estimate Pipe Life]+Table1[Year Installed],"")</f>
        <v/>
      </c>
    </row>
    <row r="20" spans="1:19" s="22" customFormat="1" x14ac:dyDescent="0.25">
      <c r="A20" s="7"/>
      <c r="B20" s="8"/>
      <c r="C20" s="7"/>
      <c r="D20" s="7"/>
      <c r="E20" s="38"/>
      <c r="F20" s="11"/>
      <c r="G20" s="12"/>
      <c r="H20" s="13"/>
      <c r="I20" s="13"/>
      <c r="J20" s="13"/>
      <c r="K20" s="13"/>
      <c r="L20" s="14"/>
      <c r="M20" s="15" t="str">
        <f>IF(Table1[[#This Row],[Year Installed]]="","",VLOOKUP(Table1[Year Installed],MPaRatings,2,TRUE))</f>
        <v/>
      </c>
      <c r="N20" s="16" t="str">
        <f>IF(Table1[[#This Row],[Year Installed]]="","",SF)</f>
        <v/>
      </c>
      <c r="O20" s="17" t="str">
        <f>_xlfn.IFNA(VLOOKUP(Table1[Use],DetnRates,2,FALSE),"")</f>
        <v/>
      </c>
      <c r="P20" s="18" t="str">
        <f>IFERROR((Table1[Max. Ext Det''n]+Table1[Max. Int Det''n])/(Table1[Year Recovered]-Table1[Year Installed]),"")</f>
        <v/>
      </c>
      <c r="Q20" s="23" t="str">
        <f>IFERROR(IF( ((Table1[Max. Ext Det''n]+Table1[Max. Int Det''n])-(Table1[National Det''n Rate]*(Table1[Year Recovered]-Table1[Year Installed])))/(Table1[National Det''n Rate]*(Table1[Year Recovered]-Table1[Year Installed])) &lt; 0, ROUND(((Table1[Max. Ext Det''n]+Table1[Max. Int Det''n])-(Table1[National Det''n Rate]*(Table1[Year Recovered]-Table1[Year Installed])))/(Table1[National Det''n Rate]*(Table1[Year Recovered]-Table1[Year Installed])) *-100,0) &amp;"% Slower",ROUND(((Table1[Max. Ext Det''n]+Table1[Max. Int Det''n])-(Table1[National Det''n Rate]*(Table1[Year Recovered]-Table1[Year Installed])))/(Table1[National Det''n Rate]*(Table1[Year Recovered]-Table1[Year Installed])) *100,0) &amp;"% Faster"),"")</f>
        <v/>
      </c>
      <c r="R20" s="20" t="str">
        <f>IFERROR((Table1[Min Wall Thickness (mm)]-(((Table1[Operating Pressure (m)]*Gravity/1000*Table1[Surge Factor])*Table1[Mean Pipe OD (mm)])/((2*Table1[MPa])+(Table1[Operating Pressure (m)]*Gravity/1000*Table1[Surge Factor]))))/((Table1[Max. Ext Det''n]+Table1[Max. Int Det''n])/(Table1[Year Recovered]-Table1[Year Installed])),"")</f>
        <v/>
      </c>
      <c r="S20" s="21" t="str">
        <f>IFERROR(Table1[Estimate Pipe Life]+Table1[Year Installed],"")</f>
        <v/>
      </c>
    </row>
    <row r="21" spans="1:19" s="22" customFormat="1" x14ac:dyDescent="0.25">
      <c r="A21" s="7"/>
      <c r="B21" s="8"/>
      <c r="C21" s="7"/>
      <c r="D21" s="7"/>
      <c r="E21" s="38"/>
      <c r="F21" s="11"/>
      <c r="G21" s="12"/>
      <c r="H21" s="13"/>
      <c r="I21" s="13"/>
      <c r="J21" s="13"/>
      <c r="K21" s="13"/>
      <c r="L21" s="14"/>
      <c r="M21" s="15" t="str">
        <f>IF(Table1[[#This Row],[Year Installed]]="","",VLOOKUP(Table1[Year Installed],MPaRatings,2,TRUE))</f>
        <v/>
      </c>
      <c r="N21" s="16" t="str">
        <f>IF(Table1[[#This Row],[Year Installed]]="","",SF)</f>
        <v/>
      </c>
      <c r="O21" s="17" t="str">
        <f>_xlfn.IFNA(VLOOKUP(Table1[Use],DetnRates,2,FALSE),"")</f>
        <v/>
      </c>
      <c r="P21" s="18" t="str">
        <f>IFERROR((Table1[Max. Ext Det''n]+Table1[Max. Int Det''n])/(Table1[Year Recovered]-Table1[Year Installed]),"")</f>
        <v/>
      </c>
      <c r="Q21" s="23" t="str">
        <f>IFERROR(IF( ((Table1[Max. Ext Det''n]+Table1[Max. Int Det''n])-(Table1[National Det''n Rate]*(Table1[Year Recovered]-Table1[Year Installed])))/(Table1[National Det''n Rate]*(Table1[Year Recovered]-Table1[Year Installed])) &lt; 0, ROUND(((Table1[Max. Ext Det''n]+Table1[Max. Int Det''n])-(Table1[National Det''n Rate]*(Table1[Year Recovered]-Table1[Year Installed])))/(Table1[National Det''n Rate]*(Table1[Year Recovered]-Table1[Year Installed])) *-100,0) &amp;"% Slower",ROUND(((Table1[Max. Ext Det''n]+Table1[Max. Int Det''n])-(Table1[National Det''n Rate]*(Table1[Year Recovered]-Table1[Year Installed])))/(Table1[National Det''n Rate]*(Table1[Year Recovered]-Table1[Year Installed])) *100,0) &amp;"% Faster"),"")</f>
        <v/>
      </c>
      <c r="R21" s="20" t="str">
        <f>IFERROR((Table1[Min Wall Thickness (mm)]-(((Table1[Operating Pressure (m)]*Gravity/1000*Table1[Surge Factor])*Table1[Mean Pipe OD (mm)])/((2*Table1[MPa])+(Table1[Operating Pressure (m)]*Gravity/1000*Table1[Surge Factor]))))/((Table1[Max. Ext Det''n]+Table1[Max. Int Det''n])/(Table1[Year Recovered]-Table1[Year Installed])),"")</f>
        <v/>
      </c>
      <c r="S21" s="21" t="str">
        <f>IFERROR(Table1[Estimate Pipe Life]+Table1[Year Installed],"")</f>
        <v/>
      </c>
    </row>
    <row r="22" spans="1:19" s="22" customFormat="1" x14ac:dyDescent="0.25">
      <c r="A22" s="7"/>
      <c r="B22" s="8"/>
      <c r="C22" s="7"/>
      <c r="D22" s="7"/>
      <c r="E22" s="38"/>
      <c r="F22" s="11"/>
      <c r="G22" s="12"/>
      <c r="H22" s="13"/>
      <c r="I22" s="13"/>
      <c r="J22" s="13"/>
      <c r="K22" s="13"/>
      <c r="L22" s="14"/>
      <c r="M22" s="15" t="str">
        <f>IF(Table1[[#This Row],[Year Installed]]="","",VLOOKUP(Table1[Year Installed],MPaRatings,2,TRUE))</f>
        <v/>
      </c>
      <c r="N22" s="16" t="str">
        <f>IF(Table1[[#This Row],[Year Installed]]="","",SF)</f>
        <v/>
      </c>
      <c r="O22" s="17" t="str">
        <f>_xlfn.IFNA(VLOOKUP(Table1[Use],DetnRates,2,FALSE),"")</f>
        <v/>
      </c>
      <c r="P22" s="18" t="str">
        <f>IFERROR((Table1[Max. Ext Det''n]+Table1[Max. Int Det''n])/(Table1[Year Recovered]-Table1[Year Installed]),"")</f>
        <v/>
      </c>
      <c r="Q22" s="23" t="str">
        <f>IFERROR(IF( ((Table1[Max. Ext Det''n]+Table1[Max. Int Det''n])-(Table1[National Det''n Rate]*(Table1[Year Recovered]-Table1[Year Installed])))/(Table1[National Det''n Rate]*(Table1[Year Recovered]-Table1[Year Installed])) &lt; 0, ROUND(((Table1[Max. Ext Det''n]+Table1[Max. Int Det''n])-(Table1[National Det''n Rate]*(Table1[Year Recovered]-Table1[Year Installed])))/(Table1[National Det''n Rate]*(Table1[Year Recovered]-Table1[Year Installed])) *-100,0) &amp;"% Slower",ROUND(((Table1[Max. Ext Det''n]+Table1[Max. Int Det''n])-(Table1[National Det''n Rate]*(Table1[Year Recovered]-Table1[Year Installed])))/(Table1[National Det''n Rate]*(Table1[Year Recovered]-Table1[Year Installed])) *100,0) &amp;"% Faster"),"")</f>
        <v/>
      </c>
      <c r="R22" s="20" t="str">
        <f>IFERROR((Table1[Min Wall Thickness (mm)]-(((Table1[Operating Pressure (m)]*Gravity/1000*Table1[Surge Factor])*Table1[Mean Pipe OD (mm)])/((2*Table1[MPa])+(Table1[Operating Pressure (m)]*Gravity/1000*Table1[Surge Factor]))))/((Table1[Max. Ext Det''n]+Table1[Max. Int Det''n])/(Table1[Year Recovered]-Table1[Year Installed])),"")</f>
        <v/>
      </c>
      <c r="S22" s="21" t="str">
        <f>IFERROR(Table1[Estimate Pipe Life]+Table1[Year Installed],"")</f>
        <v/>
      </c>
    </row>
    <row r="23" spans="1:19" s="22" customFormat="1" x14ac:dyDescent="0.25">
      <c r="A23" s="7"/>
      <c r="B23" s="8"/>
      <c r="C23" s="7"/>
      <c r="D23" s="7"/>
      <c r="E23" s="38"/>
      <c r="F23" s="11"/>
      <c r="G23" s="12"/>
      <c r="H23" s="13"/>
      <c r="I23" s="13"/>
      <c r="J23" s="13"/>
      <c r="K23" s="13"/>
      <c r="L23" s="14"/>
      <c r="M23" s="15" t="str">
        <f>IF(Table1[[#This Row],[Year Installed]]="","",VLOOKUP(Table1[Year Installed],MPaRatings,2,TRUE))</f>
        <v/>
      </c>
      <c r="N23" s="16" t="str">
        <f>IF(Table1[[#This Row],[Year Installed]]="","",SF)</f>
        <v/>
      </c>
      <c r="O23" s="17" t="str">
        <f>_xlfn.IFNA(VLOOKUP(Table1[Use],DetnRates,2,FALSE),"")</f>
        <v/>
      </c>
      <c r="P23" s="18" t="str">
        <f>IFERROR((Table1[Max. Ext Det''n]+Table1[Max. Int Det''n])/(Table1[Year Recovered]-Table1[Year Installed]),"")</f>
        <v/>
      </c>
      <c r="Q23" s="23" t="str">
        <f>IFERROR(IF( ((Table1[Max. Ext Det''n]+Table1[Max. Int Det''n])-(Table1[National Det''n Rate]*(Table1[Year Recovered]-Table1[Year Installed])))/(Table1[National Det''n Rate]*(Table1[Year Recovered]-Table1[Year Installed])) &lt; 0, ROUND(((Table1[Max. Ext Det''n]+Table1[Max. Int Det''n])-(Table1[National Det''n Rate]*(Table1[Year Recovered]-Table1[Year Installed])))/(Table1[National Det''n Rate]*(Table1[Year Recovered]-Table1[Year Installed])) *-100,0) &amp;"% Slower",ROUND(((Table1[Max. Ext Det''n]+Table1[Max. Int Det''n])-(Table1[National Det''n Rate]*(Table1[Year Recovered]-Table1[Year Installed])))/(Table1[National Det''n Rate]*(Table1[Year Recovered]-Table1[Year Installed])) *100,0) &amp;"% Faster"),"")</f>
        <v/>
      </c>
      <c r="R23" s="20" t="str">
        <f>IFERROR((Table1[Min Wall Thickness (mm)]-(((Table1[Operating Pressure (m)]*Gravity/1000*Table1[Surge Factor])*Table1[Mean Pipe OD (mm)])/((2*Table1[MPa])+(Table1[Operating Pressure (m)]*Gravity/1000*Table1[Surge Factor]))))/((Table1[Max. Ext Det''n]+Table1[Max. Int Det''n])/(Table1[Year Recovered]-Table1[Year Installed])),"")</f>
        <v/>
      </c>
      <c r="S23" s="21" t="str">
        <f>IFERROR(Table1[Estimate Pipe Life]+Table1[Year Installed],"")</f>
        <v/>
      </c>
    </row>
    <row r="24" spans="1:19" s="22" customFormat="1" x14ac:dyDescent="0.25">
      <c r="A24" s="7"/>
      <c r="B24" s="8"/>
      <c r="C24" s="7"/>
      <c r="D24" s="7"/>
      <c r="E24" s="38"/>
      <c r="F24" s="11"/>
      <c r="G24" s="12"/>
      <c r="H24" s="13"/>
      <c r="I24" s="13"/>
      <c r="J24" s="13"/>
      <c r="K24" s="13"/>
      <c r="L24" s="14"/>
      <c r="M24" s="15" t="str">
        <f>IF(Table1[[#This Row],[Year Installed]]="","",VLOOKUP(Table1[Year Installed],MPaRatings,2,TRUE))</f>
        <v/>
      </c>
      <c r="N24" s="16" t="str">
        <f>IF(Table1[[#This Row],[Year Installed]]="","",SF)</f>
        <v/>
      </c>
      <c r="O24" s="17" t="str">
        <f>_xlfn.IFNA(VLOOKUP(Table1[Use],DetnRates,2,FALSE),"")</f>
        <v/>
      </c>
      <c r="P24" s="18" t="str">
        <f>IFERROR((Table1[Max. Ext Det''n]+Table1[Max. Int Det''n])/(Table1[Year Recovered]-Table1[Year Installed]),"")</f>
        <v/>
      </c>
      <c r="Q24" s="23" t="str">
        <f>IFERROR(IF( ((Table1[Max. Ext Det''n]+Table1[Max. Int Det''n])-(Table1[National Det''n Rate]*(Table1[Year Recovered]-Table1[Year Installed])))/(Table1[National Det''n Rate]*(Table1[Year Recovered]-Table1[Year Installed])) &lt; 0, ROUND(((Table1[Max. Ext Det''n]+Table1[Max. Int Det''n])-(Table1[National Det''n Rate]*(Table1[Year Recovered]-Table1[Year Installed])))/(Table1[National Det''n Rate]*(Table1[Year Recovered]-Table1[Year Installed])) *-100,0) &amp;"% Slower",ROUND(((Table1[Max. Ext Det''n]+Table1[Max. Int Det''n])-(Table1[National Det''n Rate]*(Table1[Year Recovered]-Table1[Year Installed])))/(Table1[National Det''n Rate]*(Table1[Year Recovered]-Table1[Year Installed])) *100,0) &amp;"% Faster"),"")</f>
        <v/>
      </c>
      <c r="R24" s="20" t="str">
        <f>IFERROR((Table1[Min Wall Thickness (mm)]-(((Table1[Operating Pressure (m)]*Gravity/1000*Table1[Surge Factor])*Table1[Mean Pipe OD (mm)])/((2*Table1[MPa])+(Table1[Operating Pressure (m)]*Gravity/1000*Table1[Surge Factor]))))/((Table1[Max. Ext Det''n]+Table1[Max. Int Det''n])/(Table1[Year Recovered]-Table1[Year Installed])),"")</f>
        <v/>
      </c>
      <c r="S24" s="21" t="str">
        <f>IFERROR(Table1[Estimate Pipe Life]+Table1[Year Installed],"")</f>
        <v/>
      </c>
    </row>
    <row r="25" spans="1:19" s="22" customFormat="1" x14ac:dyDescent="0.25">
      <c r="A25" s="7"/>
      <c r="B25" s="8"/>
      <c r="C25" s="7"/>
      <c r="D25" s="7"/>
      <c r="E25" s="38"/>
      <c r="F25" s="11"/>
      <c r="G25" s="12"/>
      <c r="H25" s="13"/>
      <c r="I25" s="13"/>
      <c r="J25" s="13"/>
      <c r="K25" s="13"/>
      <c r="L25" s="14"/>
      <c r="M25" s="15" t="str">
        <f>IF(Table1[[#This Row],[Year Installed]]="","",VLOOKUP(Table1[Year Installed],MPaRatings,2,TRUE))</f>
        <v/>
      </c>
      <c r="N25" s="16" t="str">
        <f>IF(Table1[[#This Row],[Year Installed]]="","",SF)</f>
        <v/>
      </c>
      <c r="O25" s="17" t="str">
        <f>_xlfn.IFNA(VLOOKUP(Table1[Use],DetnRates,2,FALSE),"")</f>
        <v/>
      </c>
      <c r="P25" s="18" t="str">
        <f>IFERROR((Table1[Max. Ext Det''n]+Table1[Max. Int Det''n])/(Table1[Year Recovered]-Table1[Year Installed]),"")</f>
        <v/>
      </c>
      <c r="Q25" s="23" t="str">
        <f>IFERROR(IF( ((Table1[Max. Ext Det''n]+Table1[Max. Int Det''n])-(Table1[National Det''n Rate]*(Table1[Year Recovered]-Table1[Year Installed])))/(Table1[National Det''n Rate]*(Table1[Year Recovered]-Table1[Year Installed])) &lt; 0, ROUND(((Table1[Max. Ext Det''n]+Table1[Max. Int Det''n])-(Table1[National Det''n Rate]*(Table1[Year Recovered]-Table1[Year Installed])))/(Table1[National Det''n Rate]*(Table1[Year Recovered]-Table1[Year Installed])) *-100,0) &amp;"% Slower",ROUND(((Table1[Max. Ext Det''n]+Table1[Max. Int Det''n])-(Table1[National Det''n Rate]*(Table1[Year Recovered]-Table1[Year Installed])))/(Table1[National Det''n Rate]*(Table1[Year Recovered]-Table1[Year Installed])) *100,0) &amp;"% Faster"),"")</f>
        <v/>
      </c>
      <c r="R25" s="20" t="str">
        <f>IFERROR((Table1[Min Wall Thickness (mm)]-(((Table1[Operating Pressure (m)]*Gravity/1000*Table1[Surge Factor])*Table1[Mean Pipe OD (mm)])/((2*Table1[MPa])+(Table1[Operating Pressure (m)]*Gravity/1000*Table1[Surge Factor]))))/((Table1[Max. Ext Det''n]+Table1[Max. Int Det''n])/(Table1[Year Recovered]-Table1[Year Installed])),"")</f>
        <v/>
      </c>
      <c r="S25" s="21" t="str">
        <f>IFERROR(Table1[Estimate Pipe Life]+Table1[Year Installed],"")</f>
        <v/>
      </c>
    </row>
    <row r="26" spans="1:19" s="22" customFormat="1" x14ac:dyDescent="0.25">
      <c r="A26" s="7"/>
      <c r="B26" s="8"/>
      <c r="C26" s="7"/>
      <c r="D26" s="7"/>
      <c r="E26" s="38"/>
      <c r="F26" s="11"/>
      <c r="G26" s="12"/>
      <c r="H26" s="13"/>
      <c r="I26" s="13"/>
      <c r="J26" s="13"/>
      <c r="K26" s="13"/>
      <c r="L26" s="14"/>
      <c r="M26" s="15" t="str">
        <f>IF(Table1[[#This Row],[Year Installed]]="","",VLOOKUP(Table1[Year Installed],MPaRatings,2,TRUE))</f>
        <v/>
      </c>
      <c r="N26" s="16" t="str">
        <f>IF(Table1[[#This Row],[Year Installed]]="","",SF)</f>
        <v/>
      </c>
      <c r="O26" s="17" t="str">
        <f>_xlfn.IFNA(VLOOKUP(Table1[Use],DetnRates,2,FALSE),"")</f>
        <v/>
      </c>
      <c r="P26" s="18" t="str">
        <f>IFERROR((Table1[Max. Ext Det''n]+Table1[Max. Int Det''n])/(Table1[Year Recovered]-Table1[Year Installed]),"")</f>
        <v/>
      </c>
      <c r="Q26" s="23" t="str">
        <f>IFERROR(IF( ((Table1[Max. Ext Det''n]+Table1[Max. Int Det''n])-(Table1[National Det''n Rate]*(Table1[Year Recovered]-Table1[Year Installed])))/(Table1[National Det''n Rate]*(Table1[Year Recovered]-Table1[Year Installed])) &lt; 0, ROUND(((Table1[Max. Ext Det''n]+Table1[Max. Int Det''n])-(Table1[National Det''n Rate]*(Table1[Year Recovered]-Table1[Year Installed])))/(Table1[National Det''n Rate]*(Table1[Year Recovered]-Table1[Year Installed])) *-100,0) &amp;"% Slower",ROUND(((Table1[Max. Ext Det''n]+Table1[Max. Int Det''n])-(Table1[National Det''n Rate]*(Table1[Year Recovered]-Table1[Year Installed])))/(Table1[National Det''n Rate]*(Table1[Year Recovered]-Table1[Year Installed])) *100,0) &amp;"% Faster"),"")</f>
        <v/>
      </c>
      <c r="R26" s="20" t="str">
        <f>IFERROR((Table1[Min Wall Thickness (mm)]-(((Table1[Operating Pressure (m)]*Gravity/1000*Table1[Surge Factor])*Table1[Mean Pipe OD (mm)])/((2*Table1[MPa])+(Table1[Operating Pressure (m)]*Gravity/1000*Table1[Surge Factor]))))/((Table1[Max. Ext Det''n]+Table1[Max. Int Det''n])/(Table1[Year Recovered]-Table1[Year Installed])),"")</f>
        <v/>
      </c>
      <c r="S26" s="21" t="str">
        <f>IFERROR(Table1[Estimate Pipe Life]+Table1[Year Installed],"")</f>
        <v/>
      </c>
    </row>
    <row r="27" spans="1:19" s="22" customFormat="1" x14ac:dyDescent="0.25">
      <c r="A27" s="7"/>
      <c r="B27" s="8"/>
      <c r="C27" s="7"/>
      <c r="D27" s="7"/>
      <c r="E27" s="38"/>
      <c r="F27" s="11"/>
      <c r="G27" s="12"/>
      <c r="H27" s="13"/>
      <c r="I27" s="13"/>
      <c r="J27" s="13"/>
      <c r="K27" s="13"/>
      <c r="L27" s="14"/>
      <c r="M27" s="15" t="str">
        <f>IF(Table1[[#This Row],[Year Installed]]="","",VLOOKUP(Table1[Year Installed],MPaRatings,2,TRUE))</f>
        <v/>
      </c>
      <c r="N27" s="16" t="str">
        <f>IF(Table1[[#This Row],[Year Installed]]="","",SF)</f>
        <v/>
      </c>
      <c r="O27" s="17" t="str">
        <f>_xlfn.IFNA(VLOOKUP(Table1[Use],DetnRates,2,FALSE),"")</f>
        <v/>
      </c>
      <c r="P27" s="18" t="str">
        <f>IFERROR((Table1[Max. Ext Det''n]+Table1[Max. Int Det''n])/(Table1[Year Recovered]-Table1[Year Installed]),"")</f>
        <v/>
      </c>
      <c r="Q27" s="23" t="str">
        <f>IFERROR(IF( ((Table1[Max. Ext Det''n]+Table1[Max. Int Det''n])-(Table1[National Det''n Rate]*(Table1[Year Recovered]-Table1[Year Installed])))/(Table1[National Det''n Rate]*(Table1[Year Recovered]-Table1[Year Installed])) &lt; 0, ROUND(((Table1[Max. Ext Det''n]+Table1[Max. Int Det''n])-(Table1[National Det''n Rate]*(Table1[Year Recovered]-Table1[Year Installed])))/(Table1[National Det''n Rate]*(Table1[Year Recovered]-Table1[Year Installed])) *-100,0) &amp;"% Slower",ROUND(((Table1[Max. Ext Det''n]+Table1[Max. Int Det''n])-(Table1[National Det''n Rate]*(Table1[Year Recovered]-Table1[Year Installed])))/(Table1[National Det''n Rate]*(Table1[Year Recovered]-Table1[Year Installed])) *100,0) &amp;"% Faster"),"")</f>
        <v/>
      </c>
      <c r="R27" s="20" t="str">
        <f>IFERROR((Table1[Min Wall Thickness (mm)]-(((Table1[Operating Pressure (m)]*Gravity/1000*Table1[Surge Factor])*Table1[Mean Pipe OD (mm)])/((2*Table1[MPa])+(Table1[Operating Pressure (m)]*Gravity/1000*Table1[Surge Factor]))))/((Table1[Max. Ext Det''n]+Table1[Max. Int Det''n])/(Table1[Year Recovered]-Table1[Year Installed])),"")</f>
        <v/>
      </c>
      <c r="S27" s="21" t="str">
        <f>IFERROR(Table1[Estimate Pipe Life]+Table1[Year Installed],"")</f>
        <v/>
      </c>
    </row>
    <row r="28" spans="1:19" s="22" customFormat="1" x14ac:dyDescent="0.25">
      <c r="A28" s="7"/>
      <c r="B28" s="8"/>
      <c r="C28" s="7"/>
      <c r="D28" s="7"/>
      <c r="E28" s="38"/>
      <c r="F28" s="11"/>
      <c r="G28" s="12"/>
      <c r="H28" s="13"/>
      <c r="I28" s="13"/>
      <c r="J28" s="13"/>
      <c r="K28" s="13"/>
      <c r="L28" s="14"/>
      <c r="M28" s="15" t="str">
        <f>IF(Table1[[#This Row],[Year Installed]]="","",VLOOKUP(Table1[Year Installed],MPaRatings,2,TRUE))</f>
        <v/>
      </c>
      <c r="N28" s="16" t="str">
        <f>IF(Table1[[#This Row],[Year Installed]]="","",SF)</f>
        <v/>
      </c>
      <c r="O28" s="17" t="str">
        <f>_xlfn.IFNA(VLOOKUP(Table1[Use],DetnRates,2,FALSE),"")</f>
        <v/>
      </c>
      <c r="P28" s="18" t="str">
        <f>IFERROR((Table1[Max. Ext Det''n]+Table1[Max. Int Det''n])/(Table1[Year Recovered]-Table1[Year Installed]),"")</f>
        <v/>
      </c>
      <c r="Q28" s="23" t="str">
        <f>IFERROR(IF( ((Table1[Max. Ext Det''n]+Table1[Max. Int Det''n])-(Table1[National Det''n Rate]*(Table1[Year Recovered]-Table1[Year Installed])))/(Table1[National Det''n Rate]*(Table1[Year Recovered]-Table1[Year Installed])) &lt; 0, ROUND(((Table1[Max. Ext Det''n]+Table1[Max. Int Det''n])-(Table1[National Det''n Rate]*(Table1[Year Recovered]-Table1[Year Installed])))/(Table1[National Det''n Rate]*(Table1[Year Recovered]-Table1[Year Installed])) *-100,0) &amp;"% Slower",ROUND(((Table1[Max. Ext Det''n]+Table1[Max. Int Det''n])-(Table1[National Det''n Rate]*(Table1[Year Recovered]-Table1[Year Installed])))/(Table1[National Det''n Rate]*(Table1[Year Recovered]-Table1[Year Installed])) *100,0) &amp;"% Faster"),"")</f>
        <v/>
      </c>
      <c r="R28" s="20" t="str">
        <f>IFERROR((Table1[Min Wall Thickness (mm)]-(((Table1[Operating Pressure (m)]*Gravity/1000*Table1[Surge Factor])*Table1[Mean Pipe OD (mm)])/((2*Table1[MPa])+(Table1[Operating Pressure (m)]*Gravity/1000*Table1[Surge Factor]))))/((Table1[Max. Ext Det''n]+Table1[Max. Int Det''n])/(Table1[Year Recovered]-Table1[Year Installed])),"")</f>
        <v/>
      </c>
      <c r="S28" s="21" t="str">
        <f>IFERROR(Table1[Estimate Pipe Life]+Table1[Year Installed],"")</f>
        <v/>
      </c>
    </row>
    <row r="29" spans="1:19" s="22" customFormat="1" x14ac:dyDescent="0.25">
      <c r="A29" s="7"/>
      <c r="B29" s="8"/>
      <c r="C29" s="7"/>
      <c r="D29" s="7"/>
      <c r="E29" s="38"/>
      <c r="F29" s="11"/>
      <c r="G29" s="12"/>
      <c r="H29" s="13"/>
      <c r="I29" s="13"/>
      <c r="J29" s="13"/>
      <c r="K29" s="13"/>
      <c r="L29" s="14"/>
      <c r="M29" s="15" t="str">
        <f>IF(Table1[[#This Row],[Year Installed]]="","",VLOOKUP(Table1[Year Installed],MPaRatings,2,TRUE))</f>
        <v/>
      </c>
      <c r="N29" s="16" t="str">
        <f>IF(Table1[[#This Row],[Year Installed]]="","",SF)</f>
        <v/>
      </c>
      <c r="O29" s="17" t="str">
        <f>_xlfn.IFNA(VLOOKUP(Table1[Use],DetnRates,2,FALSE),"")</f>
        <v/>
      </c>
      <c r="P29" s="18" t="str">
        <f>IFERROR((Table1[Max. Ext Det''n]+Table1[Max. Int Det''n])/(Table1[Year Recovered]-Table1[Year Installed]),"")</f>
        <v/>
      </c>
      <c r="Q29" s="23" t="str">
        <f>IFERROR(IF( ((Table1[Max. Ext Det''n]+Table1[Max. Int Det''n])-(Table1[National Det''n Rate]*(Table1[Year Recovered]-Table1[Year Installed])))/(Table1[National Det''n Rate]*(Table1[Year Recovered]-Table1[Year Installed])) &lt; 0, ROUND(((Table1[Max. Ext Det''n]+Table1[Max. Int Det''n])-(Table1[National Det''n Rate]*(Table1[Year Recovered]-Table1[Year Installed])))/(Table1[National Det''n Rate]*(Table1[Year Recovered]-Table1[Year Installed])) *-100,0) &amp;"% Slower",ROUND(((Table1[Max. Ext Det''n]+Table1[Max. Int Det''n])-(Table1[National Det''n Rate]*(Table1[Year Recovered]-Table1[Year Installed])))/(Table1[National Det''n Rate]*(Table1[Year Recovered]-Table1[Year Installed])) *100,0) &amp;"% Faster"),"")</f>
        <v/>
      </c>
      <c r="R29" s="20" t="str">
        <f>IFERROR((Table1[Min Wall Thickness (mm)]-(((Table1[Operating Pressure (m)]*Gravity/1000*Table1[Surge Factor])*Table1[Mean Pipe OD (mm)])/((2*Table1[MPa])+(Table1[Operating Pressure (m)]*Gravity/1000*Table1[Surge Factor]))))/((Table1[Max. Ext Det''n]+Table1[Max. Int Det''n])/(Table1[Year Recovered]-Table1[Year Installed])),"")</f>
        <v/>
      </c>
      <c r="S29" s="21" t="str">
        <f>IFERROR(Table1[Estimate Pipe Life]+Table1[Year Installed],"")</f>
        <v/>
      </c>
    </row>
    <row r="30" spans="1:19" s="22" customFormat="1" x14ac:dyDescent="0.25">
      <c r="A30" s="7"/>
      <c r="B30" s="8"/>
      <c r="C30" s="7"/>
      <c r="D30" s="7"/>
      <c r="E30" s="38"/>
      <c r="F30" s="11"/>
      <c r="G30" s="12"/>
      <c r="H30" s="13"/>
      <c r="I30" s="13"/>
      <c r="J30" s="13"/>
      <c r="K30" s="13"/>
      <c r="L30" s="14"/>
      <c r="M30" s="15" t="str">
        <f>IF(Table1[[#This Row],[Year Installed]]="","",VLOOKUP(Table1[Year Installed],MPaRatings,2,TRUE))</f>
        <v/>
      </c>
      <c r="N30" s="16" t="str">
        <f>IF(Table1[[#This Row],[Year Installed]]="","",SF)</f>
        <v/>
      </c>
      <c r="O30" s="17" t="str">
        <f>_xlfn.IFNA(VLOOKUP(Table1[Use],DetnRates,2,FALSE),"")</f>
        <v/>
      </c>
      <c r="P30" s="18" t="str">
        <f>IFERROR((Table1[Max. Ext Det''n]+Table1[Max. Int Det''n])/(Table1[Year Recovered]-Table1[Year Installed]),"")</f>
        <v/>
      </c>
      <c r="Q30" s="23" t="str">
        <f>IFERROR(IF( ((Table1[Max. Ext Det''n]+Table1[Max. Int Det''n])-(Table1[National Det''n Rate]*(Table1[Year Recovered]-Table1[Year Installed])))/(Table1[National Det''n Rate]*(Table1[Year Recovered]-Table1[Year Installed])) &lt; 0, ROUND(((Table1[Max. Ext Det''n]+Table1[Max. Int Det''n])-(Table1[National Det''n Rate]*(Table1[Year Recovered]-Table1[Year Installed])))/(Table1[National Det''n Rate]*(Table1[Year Recovered]-Table1[Year Installed])) *-100,0) &amp;"% Slower",ROUND(((Table1[Max. Ext Det''n]+Table1[Max. Int Det''n])-(Table1[National Det''n Rate]*(Table1[Year Recovered]-Table1[Year Installed])))/(Table1[National Det''n Rate]*(Table1[Year Recovered]-Table1[Year Installed])) *100,0) &amp;"% Faster"),"")</f>
        <v/>
      </c>
      <c r="R30" s="20" t="str">
        <f>IFERROR((Table1[Min Wall Thickness (mm)]-(((Table1[Operating Pressure (m)]*Gravity/1000*Table1[Surge Factor])*Table1[Mean Pipe OD (mm)])/((2*Table1[MPa])+(Table1[Operating Pressure (m)]*Gravity/1000*Table1[Surge Factor]))))/((Table1[Max. Ext Det''n]+Table1[Max. Int Det''n])/(Table1[Year Recovered]-Table1[Year Installed])),"")</f>
        <v/>
      </c>
      <c r="S30" s="21" t="str">
        <f>IFERROR(Table1[Estimate Pipe Life]+Table1[Year Installed],"")</f>
        <v/>
      </c>
    </row>
    <row r="31" spans="1:19" s="22" customFormat="1" x14ac:dyDescent="0.25">
      <c r="A31" s="7"/>
      <c r="B31" s="8"/>
      <c r="C31" s="7"/>
      <c r="D31" s="9"/>
      <c r="E31" s="10"/>
      <c r="F31" s="8"/>
      <c r="G31" s="8"/>
      <c r="H31" s="24"/>
      <c r="I31" s="24"/>
      <c r="J31" s="24"/>
      <c r="K31" s="24"/>
      <c r="L31" s="24"/>
      <c r="M31" s="24"/>
      <c r="N31" s="24"/>
      <c r="O31" s="25"/>
      <c r="P31" s="25"/>
      <c r="Q31" s="7"/>
      <c r="R31" s="8"/>
      <c r="S31" s="8"/>
    </row>
    <row r="32" spans="1:19" s="22" customFormat="1" x14ac:dyDescent="0.25">
      <c r="A32" s="7"/>
      <c r="B32" s="8"/>
      <c r="C32" s="7"/>
      <c r="D32" s="9"/>
      <c r="E32" s="10"/>
      <c r="F32" s="8"/>
      <c r="G32" s="8"/>
      <c r="H32" s="24"/>
      <c r="I32" s="24"/>
      <c r="J32" s="24"/>
      <c r="K32" s="24"/>
      <c r="L32" s="24"/>
      <c r="M32" s="24"/>
      <c r="N32" s="24"/>
      <c r="O32" s="25"/>
      <c r="P32" s="25"/>
      <c r="Q32" s="7"/>
      <c r="R32" s="8"/>
      <c r="S32" s="8"/>
    </row>
    <row r="33" spans="1:19" s="22" customFormat="1" x14ac:dyDescent="0.25">
      <c r="A33" s="7"/>
      <c r="B33" s="8"/>
      <c r="C33" s="7"/>
      <c r="D33" s="9"/>
      <c r="E33" s="10"/>
      <c r="F33" s="8"/>
      <c r="G33" s="8"/>
      <c r="H33" s="24"/>
      <c r="I33" s="24"/>
      <c r="J33" s="24"/>
      <c r="K33" s="24"/>
      <c r="L33" s="24"/>
      <c r="M33" s="24"/>
      <c r="N33" s="24"/>
      <c r="O33" s="25"/>
      <c r="P33" s="25"/>
      <c r="Q33" s="7"/>
      <c r="R33" s="8"/>
      <c r="S33" s="8"/>
    </row>
    <row r="34" spans="1:19" s="22" customFormat="1" x14ac:dyDescent="0.25">
      <c r="A34" s="7"/>
      <c r="B34" s="8"/>
      <c r="C34" s="7"/>
      <c r="D34" s="9"/>
      <c r="E34" s="10"/>
      <c r="F34" s="8"/>
      <c r="G34" s="8"/>
      <c r="H34" s="24"/>
      <c r="I34" s="24"/>
      <c r="J34" s="24"/>
      <c r="K34" s="24"/>
      <c r="L34" s="24"/>
      <c r="M34" s="24"/>
      <c r="N34" s="24"/>
      <c r="O34" s="25"/>
      <c r="P34" s="25"/>
      <c r="Q34" s="7"/>
      <c r="R34" s="8"/>
      <c r="S34" s="8"/>
    </row>
  </sheetData>
  <mergeCells count="7">
    <mergeCell ref="A3:D3"/>
    <mergeCell ref="F7:L7"/>
    <mergeCell ref="M7:O7"/>
    <mergeCell ref="P7:S7"/>
    <mergeCell ref="B4:D4"/>
    <mergeCell ref="B5:D5"/>
    <mergeCell ref="B6:D6"/>
  </mergeCells>
  <dataValidations count="21">
    <dataValidation type="list" allowBlank="1" showInputMessage="1" showErrorMessage="1" sqref="D9:D34">
      <formula1>"Water, Wastewater, Stormwater"</formula1>
    </dataValidation>
    <dataValidation type="whole" allowBlank="1" showInputMessage="1" showErrorMessage="1" error="Enter a valid year" prompt="Year Sample Extracted" sqref="G31:G34">
      <formula1>1900</formula1>
      <formula2>2050</formula2>
    </dataValidation>
    <dataValidation type="whole" allowBlank="1" showInputMessage="1" showErrorMessage="1" error="Enter a valid year" prompt="Year Installed" sqref="F31:F34">
      <formula1>1900</formula1>
      <formula2>2050</formula2>
    </dataValidation>
    <dataValidation type="decimal" allowBlank="1" showInputMessage="1" showErrorMessage="1" prompt="Operating Pressure (m Head)" sqref="H31:H34">
      <formula1>0</formula1>
      <formula2>600</formula2>
    </dataValidation>
    <dataValidation allowBlank="1" showInputMessage="1" showErrorMessage="1" prompt="Outside Diameter (mm)" sqref="I9:I34"/>
    <dataValidation type="decimal" allowBlank="1" showInputMessage="1" showErrorMessage="1" prompt="Mean Wall Thickness (mm)" sqref="J31:J34">
      <formula1>0</formula1>
      <formula2>70</formula2>
    </dataValidation>
    <dataValidation type="decimal" allowBlank="1" showInputMessage="1" showErrorMessage="1" prompt="Maximum External Deterioation (mm)" sqref="K31:K34">
      <formula1>0</formula1>
      <formula2>80</formula2>
    </dataValidation>
    <dataValidation type="decimal" allowBlank="1" showInputMessage="1" showErrorMessage="1" prompt="Maximum Internal Deterioation (mm)" sqref="L31:L34">
      <formula1>0</formula1>
      <formula2>80</formula2>
    </dataValidation>
    <dataValidation type="decimal" allowBlank="1" showInputMessage="1" showErrorMessage="1" prompt="MPa rating of pressue pipe. Overwrite if required." sqref="M31:M34">
      <formula1>0</formula1>
      <formula2>100</formula2>
    </dataValidation>
    <dataValidation type="decimal" allowBlank="1" showInputMessage="1" showErrorMessage="1" prompt="Surge Factor. Overwrite if required." sqref="N31:N34">
      <formula1>0</formula1>
      <formula2>10</formula2>
    </dataValidation>
    <dataValidation type="decimal" allowBlank="1" showInputMessage="1" showErrorMessage="1" prompt="National average deterioration rate (mm/year). Overwrite if required." sqref="O31:O34">
      <formula1>0</formula1>
      <formula2>10</formula2>
    </dataValidation>
    <dataValidation allowBlank="1" showInputMessage="1" showErrorMessage="1" prompt="Pipe Pressure Class" sqref="C9:C34"/>
    <dataValidation allowBlank="1" showInputMessage="1" showErrorMessage="1" error="Enter a valid year" prompt="Year Installed" sqref="F9:F30"/>
    <dataValidation allowBlank="1" showInputMessage="1" showErrorMessage="1" error="Enter a valid year" prompt="Year Sample Extracted" sqref="G9:G30"/>
    <dataValidation allowBlank="1" showInputMessage="1" showErrorMessage="1" prompt="Operating Pressure (m Head)" sqref="H9:H30"/>
    <dataValidation allowBlank="1" showInputMessage="1" showErrorMessage="1" prompt="Maximum External Deterioation (mm)" sqref="K9:K30"/>
    <dataValidation allowBlank="1" showInputMessage="1" showErrorMessage="1" prompt="Maximum Internal Deterioation (mm)" sqref="L9:L30"/>
    <dataValidation allowBlank="1" showInputMessage="1" showErrorMessage="1" prompt="MPa rating of pressue pipe. Overwrite if required." sqref="M9:M30"/>
    <dataValidation allowBlank="1" showInputMessage="1" showErrorMessage="1" prompt="Surge Factor. Overwrite if required." sqref="N9:N30"/>
    <dataValidation allowBlank="1" showInputMessage="1" showErrorMessage="1" prompt="National average deterioration rate (mm/year). Overwrite if required." sqref="O9:O30"/>
    <dataValidation allowBlank="1" showInputMessage="1" showErrorMessage="1" prompt="Minimum Wall Thickness (mm)" sqref="J9:J30"/>
  </dataValidations>
  <pageMargins left="0.7" right="0.7" top="0.75" bottom="0.75" header="0.3" footer="0.3"/>
  <pageSetup paperSize="9" scale="58" fitToHeight="0" orientation="landscape" r:id="rId1"/>
  <colBreaks count="1" manualBreakCount="1">
    <brk id="19" max="1048575" man="1"/>
  </colBreaks>
  <ignoredErrors>
    <ignoredError sqref="M9:O30" unlockedFormula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F23" sqref="F23"/>
    </sheetView>
  </sheetViews>
  <sheetFormatPr defaultRowHeight="15" x14ac:dyDescent="0.25"/>
  <cols>
    <col min="1" max="1" width="16" customWidth="1"/>
  </cols>
  <sheetData>
    <row r="1" spans="1:2" x14ac:dyDescent="0.25">
      <c r="A1" s="3" t="s">
        <v>12</v>
      </c>
    </row>
    <row r="2" spans="1:2" x14ac:dyDescent="0.25">
      <c r="A2" s="1"/>
      <c r="B2" s="1"/>
    </row>
    <row r="3" spans="1:2" x14ac:dyDescent="0.25">
      <c r="A3" s="1" t="s">
        <v>11</v>
      </c>
      <c r="B3" s="1">
        <v>9.7889999999999997</v>
      </c>
    </row>
    <row r="4" spans="1:2" x14ac:dyDescent="0.25">
      <c r="A4" s="1" t="s">
        <v>4</v>
      </c>
      <c r="B4" s="1">
        <v>1.5</v>
      </c>
    </row>
    <row r="5" spans="1:2" x14ac:dyDescent="0.25">
      <c r="A5" s="1"/>
      <c r="B5" s="1"/>
    </row>
    <row r="6" spans="1:2" x14ac:dyDescent="0.25">
      <c r="A6" s="2" t="s">
        <v>14</v>
      </c>
      <c r="B6" s="1"/>
    </row>
    <row r="7" spans="1:2" x14ac:dyDescent="0.25">
      <c r="A7" s="2"/>
      <c r="B7" s="1"/>
    </row>
    <row r="8" spans="1:2" x14ac:dyDescent="0.25">
      <c r="A8" s="2" t="s">
        <v>13</v>
      </c>
      <c r="B8" s="4" t="s">
        <v>15</v>
      </c>
    </row>
    <row r="9" spans="1:2" x14ac:dyDescent="0.25">
      <c r="A9" s="1">
        <v>0</v>
      </c>
      <c r="B9" s="1">
        <v>15.5</v>
      </c>
    </row>
    <row r="10" spans="1:2" x14ac:dyDescent="0.25">
      <c r="A10" s="1">
        <v>1959</v>
      </c>
      <c r="B10" s="1">
        <v>22.1</v>
      </c>
    </row>
    <row r="11" spans="1:2" x14ac:dyDescent="0.25">
      <c r="A11" s="1">
        <v>1976</v>
      </c>
      <c r="B11" s="1">
        <v>23.5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Deterioration Modelling</vt:lpstr>
      <vt:lpstr>Constants</vt:lpstr>
      <vt:lpstr>DetnRates</vt:lpstr>
      <vt:lpstr>Gravity</vt:lpstr>
      <vt:lpstr>MPaRatings</vt:lpstr>
      <vt:lpstr>'Deterioration Modelling'!Print_Area</vt:lpstr>
      <vt:lpstr>SF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Lesley Smith</cp:lastModifiedBy>
  <cp:lastPrinted>2016-12-12T00:26:23Z</cp:lastPrinted>
  <dcterms:created xsi:type="dcterms:W3CDTF">2016-03-16T22:44:48Z</dcterms:created>
  <dcterms:modified xsi:type="dcterms:W3CDTF">2017-04-03T02:02:13Z</dcterms:modified>
</cp:coreProperties>
</file>